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tables/table2.xml" ContentType="application/vnd.openxmlformats-officedocument.spreadsheetml.table+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codeName="ThisWorkbook"/>
  <mc:AlternateContent xmlns:mc="http://schemas.openxmlformats.org/markup-compatibility/2006">
    <mc:Choice Requires="x15">
      <x15ac:absPath xmlns:x15ac="http://schemas.microsoft.com/office/spreadsheetml/2010/11/ac" url="D:\Professionnel\Recherche\2020\Projet Simtap\Documents à jour\Simtap_Dexi_Template_Kit\"/>
    </mc:Choice>
  </mc:AlternateContent>
  <xr:revisionPtr revIDLastSave="0" documentId="13_ncr:1_{D1DEFA78-96D6-47E8-8E1C-9A67CA095A93}" xr6:coauthVersionLast="46" xr6:coauthVersionMax="46" xr10:uidLastSave="{00000000-0000-0000-0000-000000000000}"/>
  <bookViews>
    <workbookView xWindow="-23148" yWindow="-108" windowWidth="23256" windowHeight="12576" tabRatio="851" firstSheet="1" activeTab="14" xr2:uid="{00000000-000D-0000-FFFF-FFFF00000000}"/>
  </bookViews>
  <sheets>
    <sheet name="Instructions" sheetId="12" r:id="rId1"/>
    <sheet name="System description" sheetId="13" r:id="rId2"/>
    <sheet name="Input data" sheetId="24" r:id="rId3"/>
    <sheet name="Sheet 1" sheetId="23" r:id="rId4"/>
    <sheet name="Sheet 2" sheetId="22" r:id="rId5"/>
    <sheet name="Sheet 3" sheetId="30" r:id="rId6"/>
    <sheet name="Sheet 4" sheetId="10" r:id="rId7"/>
    <sheet name="Sheet 5" sheetId="21" r:id="rId8"/>
    <sheet name="Sheet 6" sheetId="7" r:id="rId9"/>
    <sheet name="Sheet 7" sheetId="4" r:id="rId10"/>
    <sheet name="Sheet 8" sheetId="6" r:id="rId11"/>
    <sheet name="Sheet 9" sheetId="29" state="hidden" r:id="rId12"/>
    <sheet name="Secondary data calculation" sheetId="16" r:id="rId13"/>
    <sheet name="Indicators" sheetId="17" r:id="rId14"/>
    <sheet name="DEXi export file" sheetId="11" r:id="rId15"/>
    <sheet name="FP" sheetId="25" r:id="rId16"/>
    <sheet name="DNT" sheetId="26" r:id="rId17"/>
    <sheet name="PNT" sheetId="27" r:id="rId18"/>
    <sheet name="CP" sheetId="28" r:id="rId19"/>
  </sheets>
  <definedNames>
    <definedName name="Coproducts">Table_coproducts[Product]</definedName>
    <definedName name="Feeds">Table_ingredients[Feeds]</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8" i="17" l="1"/>
  <c r="J156" i="30"/>
  <c r="C38" i="24" s="1"/>
  <c r="C49" i="16" s="1"/>
  <c r="D51" i="17" s="1"/>
  <c r="J51" i="17" s="1"/>
  <c r="C37" i="24"/>
  <c r="C55" i="16" l="1"/>
  <c r="K32" i="30"/>
  <c r="D248" i="22"/>
  <c r="D249" i="22" s="1"/>
  <c r="T247" i="22"/>
  <c r="Q247" i="22"/>
  <c r="R247" i="22" s="1"/>
  <c r="N247" i="22"/>
  <c r="M247" i="22"/>
  <c r="L247" i="22"/>
  <c r="K247" i="22"/>
  <c r="J247" i="22"/>
  <c r="I247" i="22"/>
  <c r="H247" i="22"/>
  <c r="G247" i="22"/>
  <c r="F247" i="22"/>
  <c r="E247" i="22"/>
  <c r="T246" i="22"/>
  <c r="Q246" i="22"/>
  <c r="R246" i="22" s="1"/>
  <c r="N246" i="22"/>
  <c r="M246" i="22"/>
  <c r="L246" i="22"/>
  <c r="K246" i="22"/>
  <c r="J246" i="22"/>
  <c r="I246" i="22"/>
  <c r="H246" i="22"/>
  <c r="G246" i="22"/>
  <c r="F246" i="22"/>
  <c r="E246" i="22"/>
  <c r="T245" i="22"/>
  <c r="Q245" i="22"/>
  <c r="R245" i="22" s="1"/>
  <c r="N245" i="22"/>
  <c r="M245" i="22"/>
  <c r="L245" i="22"/>
  <c r="K245" i="22"/>
  <c r="J245" i="22"/>
  <c r="I245" i="22"/>
  <c r="H245" i="22"/>
  <c r="G245" i="22"/>
  <c r="F245" i="22"/>
  <c r="E245" i="22"/>
  <c r="T244" i="22"/>
  <c r="Q244" i="22"/>
  <c r="R244" i="22" s="1"/>
  <c r="N244" i="22"/>
  <c r="M244" i="22"/>
  <c r="L244" i="22"/>
  <c r="K244" i="22"/>
  <c r="J244" i="22"/>
  <c r="I244" i="22"/>
  <c r="H244" i="22"/>
  <c r="G244" i="22"/>
  <c r="F244" i="22"/>
  <c r="E244" i="22"/>
  <c r="T243" i="22"/>
  <c r="Q243" i="22"/>
  <c r="R243" i="22" s="1"/>
  <c r="N243" i="22"/>
  <c r="M243" i="22"/>
  <c r="L243" i="22"/>
  <c r="K243" i="22"/>
  <c r="J243" i="22"/>
  <c r="I243" i="22"/>
  <c r="H243" i="22"/>
  <c r="G243" i="22"/>
  <c r="F243" i="22"/>
  <c r="E243" i="22"/>
  <c r="T242" i="22"/>
  <c r="Q242" i="22"/>
  <c r="R242" i="22" s="1"/>
  <c r="N242" i="22"/>
  <c r="M242" i="22"/>
  <c r="L242" i="22"/>
  <c r="K242" i="22"/>
  <c r="J242" i="22"/>
  <c r="I242" i="22"/>
  <c r="H242" i="22"/>
  <c r="G242" i="22"/>
  <c r="F242" i="22"/>
  <c r="E242" i="22"/>
  <c r="T241" i="22"/>
  <c r="Q241" i="22"/>
  <c r="R241" i="22" s="1"/>
  <c r="N241" i="22"/>
  <c r="M241" i="22"/>
  <c r="L241" i="22"/>
  <c r="K241" i="22"/>
  <c r="J241" i="22"/>
  <c r="I241" i="22"/>
  <c r="H241" i="22"/>
  <c r="G241" i="22"/>
  <c r="F241" i="22"/>
  <c r="E241" i="22"/>
  <c r="T240" i="22"/>
  <c r="Q240" i="22"/>
  <c r="R240" i="22" s="1"/>
  <c r="N240" i="22"/>
  <c r="M240" i="22"/>
  <c r="L240" i="22"/>
  <c r="K240" i="22"/>
  <c r="J240" i="22"/>
  <c r="I240" i="22"/>
  <c r="H240" i="22"/>
  <c r="G240" i="22"/>
  <c r="F240" i="22"/>
  <c r="E240" i="22"/>
  <c r="T239" i="22"/>
  <c r="Q239" i="22"/>
  <c r="R239" i="22" s="1"/>
  <c r="N239" i="22"/>
  <c r="M239" i="22"/>
  <c r="L239" i="22"/>
  <c r="K239" i="22"/>
  <c r="J239" i="22"/>
  <c r="I239" i="22"/>
  <c r="H239" i="22"/>
  <c r="G239" i="22"/>
  <c r="F239" i="22"/>
  <c r="E239" i="22"/>
  <c r="T238" i="22"/>
  <c r="Q238" i="22"/>
  <c r="R238" i="22" s="1"/>
  <c r="N238" i="22"/>
  <c r="M238" i="22"/>
  <c r="L238" i="22"/>
  <c r="K238" i="22"/>
  <c r="J238" i="22"/>
  <c r="I238" i="22"/>
  <c r="H238" i="22"/>
  <c r="G238" i="22"/>
  <c r="F238" i="22"/>
  <c r="E238" i="22"/>
  <c r="T237" i="22"/>
  <c r="Q237" i="22"/>
  <c r="R237" i="22" s="1"/>
  <c r="N237" i="22"/>
  <c r="M237" i="22"/>
  <c r="L237" i="22"/>
  <c r="K237" i="22"/>
  <c r="J237" i="22"/>
  <c r="I237" i="22"/>
  <c r="H237" i="22"/>
  <c r="G237" i="22"/>
  <c r="F237" i="22"/>
  <c r="E237" i="22"/>
  <c r="T236" i="22"/>
  <c r="Q236" i="22"/>
  <c r="R236" i="22" s="1"/>
  <c r="N236" i="22"/>
  <c r="M236" i="22"/>
  <c r="L236" i="22"/>
  <c r="K236" i="22"/>
  <c r="J236" i="22"/>
  <c r="I236" i="22"/>
  <c r="H236" i="22"/>
  <c r="G236" i="22"/>
  <c r="F236" i="22"/>
  <c r="E236" i="22"/>
  <c r="T235" i="22"/>
  <c r="Q235" i="22"/>
  <c r="R235" i="22" s="1"/>
  <c r="N235" i="22"/>
  <c r="M235" i="22"/>
  <c r="L235" i="22"/>
  <c r="K235" i="22"/>
  <c r="J235" i="22"/>
  <c r="I235" i="22"/>
  <c r="H235" i="22"/>
  <c r="G235" i="22"/>
  <c r="F235" i="22"/>
  <c r="E235" i="22"/>
  <c r="T234" i="22"/>
  <c r="Q234" i="22"/>
  <c r="R234" i="22" s="1"/>
  <c r="N234" i="22"/>
  <c r="M234" i="22"/>
  <c r="L234" i="22"/>
  <c r="K234" i="22"/>
  <c r="J234" i="22"/>
  <c r="I234" i="22"/>
  <c r="H234" i="22"/>
  <c r="G234" i="22"/>
  <c r="F234" i="22"/>
  <c r="E234" i="22"/>
  <c r="T233" i="22"/>
  <c r="Q233" i="22"/>
  <c r="R233" i="22" s="1"/>
  <c r="N233" i="22"/>
  <c r="M233" i="22"/>
  <c r="L233" i="22"/>
  <c r="K233" i="22"/>
  <c r="J233" i="22"/>
  <c r="I233" i="22"/>
  <c r="H233" i="22"/>
  <c r="G233" i="22"/>
  <c r="F233" i="22"/>
  <c r="E233" i="22"/>
  <c r="T232" i="22"/>
  <c r="T248" i="22" s="1"/>
  <c r="Q232" i="22"/>
  <c r="R232" i="22" s="1"/>
  <c r="N232" i="22"/>
  <c r="M232" i="22"/>
  <c r="L232" i="22"/>
  <c r="K232" i="22"/>
  <c r="J232" i="22"/>
  <c r="I232" i="22"/>
  <c r="H232" i="22"/>
  <c r="G232" i="22"/>
  <c r="F232" i="22"/>
  <c r="E232" i="22"/>
  <c r="D224" i="22"/>
  <c r="D225" i="22" s="1"/>
  <c r="T223" i="22"/>
  <c r="Q223" i="22"/>
  <c r="R223" i="22" s="1"/>
  <c r="N223" i="22"/>
  <c r="M223" i="22"/>
  <c r="L223" i="22"/>
  <c r="K223" i="22"/>
  <c r="J223" i="22"/>
  <c r="I223" i="22"/>
  <c r="H223" i="22"/>
  <c r="G223" i="22"/>
  <c r="F223" i="22"/>
  <c r="E223" i="22"/>
  <c r="T222" i="22"/>
  <c r="Q222" i="22"/>
  <c r="R222" i="22" s="1"/>
  <c r="N222" i="22"/>
  <c r="M222" i="22"/>
  <c r="L222" i="22"/>
  <c r="K222" i="22"/>
  <c r="J222" i="22"/>
  <c r="I222" i="22"/>
  <c r="H222" i="22"/>
  <c r="G222" i="22"/>
  <c r="F222" i="22"/>
  <c r="E222" i="22"/>
  <c r="T221" i="22"/>
  <c r="Q221" i="22"/>
  <c r="R221" i="22" s="1"/>
  <c r="N221" i="22"/>
  <c r="M221" i="22"/>
  <c r="L221" i="22"/>
  <c r="K221" i="22"/>
  <c r="J221" i="22"/>
  <c r="I221" i="22"/>
  <c r="H221" i="22"/>
  <c r="G221" i="22"/>
  <c r="F221" i="22"/>
  <c r="E221" i="22"/>
  <c r="T220" i="22"/>
  <c r="Q220" i="22"/>
  <c r="R220" i="22" s="1"/>
  <c r="N220" i="22"/>
  <c r="M220" i="22"/>
  <c r="L220" i="22"/>
  <c r="K220" i="22"/>
  <c r="J220" i="22"/>
  <c r="I220" i="22"/>
  <c r="H220" i="22"/>
  <c r="G220" i="22"/>
  <c r="F220" i="22"/>
  <c r="E220" i="22"/>
  <c r="T219" i="22"/>
  <c r="Q219" i="22"/>
  <c r="R219" i="22" s="1"/>
  <c r="N219" i="22"/>
  <c r="M219" i="22"/>
  <c r="L219" i="22"/>
  <c r="K219" i="22"/>
  <c r="J219" i="22"/>
  <c r="I219" i="22"/>
  <c r="H219" i="22"/>
  <c r="G219" i="22"/>
  <c r="F219" i="22"/>
  <c r="E219" i="22"/>
  <c r="T218" i="22"/>
  <c r="R218" i="22"/>
  <c r="Q218" i="22"/>
  <c r="N218" i="22"/>
  <c r="M218" i="22"/>
  <c r="L218" i="22"/>
  <c r="K218" i="22"/>
  <c r="J218" i="22"/>
  <c r="I218" i="22"/>
  <c r="H218" i="22"/>
  <c r="G218" i="22"/>
  <c r="F218" i="22"/>
  <c r="E218" i="22"/>
  <c r="T217" i="22"/>
  <c r="R217" i="22"/>
  <c r="Q217" i="22"/>
  <c r="N217" i="22"/>
  <c r="M217" i="22"/>
  <c r="L217" i="22"/>
  <c r="K217" i="22"/>
  <c r="J217" i="22"/>
  <c r="I217" i="22"/>
  <c r="H217" i="22"/>
  <c r="G217" i="22"/>
  <c r="F217" i="22"/>
  <c r="E217" i="22"/>
  <c r="T216" i="22"/>
  <c r="Q216" i="22"/>
  <c r="R216" i="22" s="1"/>
  <c r="N216" i="22"/>
  <c r="M216" i="22"/>
  <c r="L216" i="22"/>
  <c r="K216" i="22"/>
  <c r="J216" i="22"/>
  <c r="I216" i="22"/>
  <c r="H216" i="22"/>
  <c r="G216" i="22"/>
  <c r="F216" i="22"/>
  <c r="E216" i="22"/>
  <c r="T215" i="22"/>
  <c r="Q215" i="22"/>
  <c r="R215" i="22" s="1"/>
  <c r="N215" i="22"/>
  <c r="M215" i="22"/>
  <c r="L215" i="22"/>
  <c r="K215" i="22"/>
  <c r="J215" i="22"/>
  <c r="I215" i="22"/>
  <c r="H215" i="22"/>
  <c r="G215" i="22"/>
  <c r="F215" i="22"/>
  <c r="E215" i="22"/>
  <c r="T214" i="22"/>
  <c r="Q214" i="22"/>
  <c r="R214" i="22" s="1"/>
  <c r="N214" i="22"/>
  <c r="M214" i="22"/>
  <c r="L214" i="22"/>
  <c r="K214" i="22"/>
  <c r="J214" i="22"/>
  <c r="I214" i="22"/>
  <c r="H214" i="22"/>
  <c r="G214" i="22"/>
  <c r="F214" i="22"/>
  <c r="E214" i="22"/>
  <c r="T213" i="22"/>
  <c r="Q213" i="22"/>
  <c r="R213" i="22" s="1"/>
  <c r="N213" i="22"/>
  <c r="M213" i="22"/>
  <c r="L213" i="22"/>
  <c r="K213" i="22"/>
  <c r="J213" i="22"/>
  <c r="I213" i="22"/>
  <c r="H213" i="22"/>
  <c r="G213" i="22"/>
  <c r="F213" i="22"/>
  <c r="E213" i="22"/>
  <c r="T212" i="22"/>
  <c r="Q212" i="22"/>
  <c r="R212" i="22" s="1"/>
  <c r="N212" i="22"/>
  <c r="M212" i="22"/>
  <c r="L212" i="22"/>
  <c r="K212" i="22"/>
  <c r="J212" i="22"/>
  <c r="I212" i="22"/>
  <c r="H212" i="22"/>
  <c r="G212" i="22"/>
  <c r="F212" i="22"/>
  <c r="E212" i="22"/>
  <c r="T211" i="22"/>
  <c r="Q211" i="22"/>
  <c r="R211" i="22" s="1"/>
  <c r="N211" i="22"/>
  <c r="M211" i="22"/>
  <c r="L211" i="22"/>
  <c r="K211" i="22"/>
  <c r="J211" i="22"/>
  <c r="I211" i="22"/>
  <c r="H211" i="22"/>
  <c r="G211" i="22"/>
  <c r="F211" i="22"/>
  <c r="E211" i="22"/>
  <c r="T210" i="22"/>
  <c r="Q210" i="22"/>
  <c r="R210" i="22" s="1"/>
  <c r="N210" i="22"/>
  <c r="M210" i="22"/>
  <c r="L210" i="22"/>
  <c r="K210" i="22"/>
  <c r="J210" i="22"/>
  <c r="I210" i="22"/>
  <c r="H210" i="22"/>
  <c r="G210" i="22"/>
  <c r="F210" i="22"/>
  <c r="E210" i="22"/>
  <c r="T209" i="22"/>
  <c r="Q209" i="22"/>
  <c r="R209" i="22" s="1"/>
  <c r="N209" i="22"/>
  <c r="M209" i="22"/>
  <c r="L209" i="22"/>
  <c r="K209" i="22"/>
  <c r="J209" i="22"/>
  <c r="I209" i="22"/>
  <c r="H209" i="22"/>
  <c r="G209" i="22"/>
  <c r="F209" i="22"/>
  <c r="E209" i="22"/>
  <c r="T208" i="22"/>
  <c r="T224" i="22" s="1"/>
  <c r="Q208" i="22"/>
  <c r="R208" i="22" s="1"/>
  <c r="N208" i="22"/>
  <c r="M208" i="22"/>
  <c r="L208" i="22"/>
  <c r="K208" i="22"/>
  <c r="J208" i="22"/>
  <c r="I208" i="22"/>
  <c r="H208" i="22"/>
  <c r="G208" i="22"/>
  <c r="F208" i="22"/>
  <c r="E208" i="22"/>
  <c r="D200" i="22"/>
  <c r="D201" i="22" s="1"/>
  <c r="T199" i="22"/>
  <c r="Q199" i="22"/>
  <c r="R199" i="22" s="1"/>
  <c r="N199" i="22"/>
  <c r="M199" i="22"/>
  <c r="L199" i="22"/>
  <c r="K199" i="22"/>
  <c r="J199" i="22"/>
  <c r="I199" i="22"/>
  <c r="H199" i="22"/>
  <c r="G199" i="22"/>
  <c r="F199" i="22"/>
  <c r="E199" i="22"/>
  <c r="T198" i="22"/>
  <c r="Q198" i="22"/>
  <c r="R198" i="22" s="1"/>
  <c r="N198" i="22"/>
  <c r="M198" i="22"/>
  <c r="L198" i="22"/>
  <c r="K198" i="22"/>
  <c r="J198" i="22"/>
  <c r="I198" i="22"/>
  <c r="H198" i="22"/>
  <c r="G198" i="22"/>
  <c r="F198" i="22"/>
  <c r="E198" i="22"/>
  <c r="T197" i="22"/>
  <c r="Q197" i="22"/>
  <c r="R197" i="22" s="1"/>
  <c r="N197" i="22"/>
  <c r="M197" i="22"/>
  <c r="L197" i="22"/>
  <c r="K197" i="22"/>
  <c r="J197" i="22"/>
  <c r="I197" i="22"/>
  <c r="H197" i="22"/>
  <c r="G197" i="22"/>
  <c r="F197" i="22"/>
  <c r="E197" i="22"/>
  <c r="T196" i="22"/>
  <c r="Q196" i="22"/>
  <c r="R196" i="22" s="1"/>
  <c r="N196" i="22"/>
  <c r="M196" i="22"/>
  <c r="L196" i="22"/>
  <c r="K196" i="22"/>
  <c r="J196" i="22"/>
  <c r="I196" i="22"/>
  <c r="H196" i="22"/>
  <c r="G196" i="22"/>
  <c r="F196" i="22"/>
  <c r="E196" i="22"/>
  <c r="T195" i="22"/>
  <c r="Q195" i="22"/>
  <c r="R195" i="22" s="1"/>
  <c r="N195" i="22"/>
  <c r="M195" i="22"/>
  <c r="L195" i="22"/>
  <c r="K195" i="22"/>
  <c r="J195" i="22"/>
  <c r="I195" i="22"/>
  <c r="H195" i="22"/>
  <c r="G195" i="22"/>
  <c r="F195" i="22"/>
  <c r="E195" i="22"/>
  <c r="T194" i="22"/>
  <c r="Q194" i="22"/>
  <c r="R194" i="22" s="1"/>
  <c r="N194" i="22"/>
  <c r="M194" i="22"/>
  <c r="L194" i="22"/>
  <c r="K194" i="22"/>
  <c r="J194" i="22"/>
  <c r="I194" i="22"/>
  <c r="H194" i="22"/>
  <c r="G194" i="22"/>
  <c r="F194" i="22"/>
  <c r="E194" i="22"/>
  <c r="T193" i="22"/>
  <c r="Q193" i="22"/>
  <c r="R193" i="22" s="1"/>
  <c r="N193" i="22"/>
  <c r="M193" i="22"/>
  <c r="L193" i="22"/>
  <c r="K193" i="22"/>
  <c r="J193" i="22"/>
  <c r="I193" i="22"/>
  <c r="H193" i="22"/>
  <c r="G193" i="22"/>
  <c r="F193" i="22"/>
  <c r="E193" i="22"/>
  <c r="T192" i="22"/>
  <c r="Q192" i="22"/>
  <c r="R192" i="22" s="1"/>
  <c r="N192" i="22"/>
  <c r="M192" i="22"/>
  <c r="L192" i="22"/>
  <c r="K192" i="22"/>
  <c r="J192" i="22"/>
  <c r="I192" i="22"/>
  <c r="H192" i="22"/>
  <c r="G192" i="22"/>
  <c r="F192" i="22"/>
  <c r="E192" i="22"/>
  <c r="T191" i="22"/>
  <c r="Q191" i="22"/>
  <c r="R191" i="22" s="1"/>
  <c r="N191" i="22"/>
  <c r="M191" i="22"/>
  <c r="L191" i="22"/>
  <c r="K191" i="22"/>
  <c r="J191" i="22"/>
  <c r="I191" i="22"/>
  <c r="H191" i="22"/>
  <c r="G191" i="22"/>
  <c r="F191" i="22"/>
  <c r="E191" i="22"/>
  <c r="T190" i="22"/>
  <c r="Q190" i="22"/>
  <c r="R190" i="22" s="1"/>
  <c r="N190" i="22"/>
  <c r="M190" i="22"/>
  <c r="L190" i="22"/>
  <c r="K190" i="22"/>
  <c r="J190" i="22"/>
  <c r="I190" i="22"/>
  <c r="H190" i="22"/>
  <c r="G190" i="22"/>
  <c r="F190" i="22"/>
  <c r="E190" i="22"/>
  <c r="T189" i="22"/>
  <c r="Q189" i="22"/>
  <c r="R189" i="22" s="1"/>
  <c r="N189" i="22"/>
  <c r="M189" i="22"/>
  <c r="L189" i="22"/>
  <c r="K189" i="22"/>
  <c r="J189" i="22"/>
  <c r="I189" i="22"/>
  <c r="H189" i="22"/>
  <c r="G189" i="22"/>
  <c r="F189" i="22"/>
  <c r="E189" i="22"/>
  <c r="T188" i="22"/>
  <c r="Q188" i="22"/>
  <c r="R188" i="22" s="1"/>
  <c r="N188" i="22"/>
  <c r="M188" i="22"/>
  <c r="L188" i="22"/>
  <c r="K188" i="22"/>
  <c r="J188" i="22"/>
  <c r="I188" i="22"/>
  <c r="H188" i="22"/>
  <c r="G188" i="22"/>
  <c r="F188" i="22"/>
  <c r="E188" i="22"/>
  <c r="T187" i="22"/>
  <c r="Q187" i="22"/>
  <c r="R187" i="22" s="1"/>
  <c r="N187" i="22"/>
  <c r="M187" i="22"/>
  <c r="L187" i="22"/>
  <c r="K187" i="22"/>
  <c r="J187" i="22"/>
  <c r="I187" i="22"/>
  <c r="H187" i="22"/>
  <c r="G187" i="22"/>
  <c r="F187" i="22"/>
  <c r="E187" i="22"/>
  <c r="T186" i="22"/>
  <c r="Q186" i="22"/>
  <c r="R186" i="22" s="1"/>
  <c r="N186" i="22"/>
  <c r="M186" i="22"/>
  <c r="L186" i="22"/>
  <c r="K186" i="22"/>
  <c r="J186" i="22"/>
  <c r="I186" i="22"/>
  <c r="H186" i="22"/>
  <c r="G186" i="22"/>
  <c r="F186" i="22"/>
  <c r="E186" i="22"/>
  <c r="T185" i="22"/>
  <c r="Q185" i="22"/>
  <c r="R185" i="22" s="1"/>
  <c r="N185" i="22"/>
  <c r="M185" i="22"/>
  <c r="L185" i="22"/>
  <c r="K185" i="22"/>
  <c r="J185" i="22"/>
  <c r="I185" i="22"/>
  <c r="H185" i="22"/>
  <c r="G185" i="22"/>
  <c r="F185" i="22"/>
  <c r="E185" i="22"/>
  <c r="T184" i="22"/>
  <c r="Q184" i="22"/>
  <c r="R184" i="22" s="1"/>
  <c r="N184" i="22"/>
  <c r="M184" i="22"/>
  <c r="L184" i="22"/>
  <c r="K184" i="22"/>
  <c r="J184" i="22"/>
  <c r="I184" i="22"/>
  <c r="H184" i="22"/>
  <c r="G184" i="22"/>
  <c r="F184" i="22"/>
  <c r="E184" i="22"/>
  <c r="D176" i="22"/>
  <c r="D177" i="22" s="1"/>
  <c r="T175" i="22"/>
  <c r="Q175" i="22"/>
  <c r="R175" i="22" s="1"/>
  <c r="N175" i="22"/>
  <c r="M175" i="22"/>
  <c r="L175" i="22"/>
  <c r="K175" i="22"/>
  <c r="J175" i="22"/>
  <c r="I175" i="22"/>
  <c r="H175" i="22"/>
  <c r="G175" i="22"/>
  <c r="F175" i="22"/>
  <c r="E175" i="22"/>
  <c r="T174" i="22"/>
  <c r="Q174" i="22"/>
  <c r="R174" i="22" s="1"/>
  <c r="N174" i="22"/>
  <c r="M174" i="22"/>
  <c r="L174" i="22"/>
  <c r="K174" i="22"/>
  <c r="J174" i="22"/>
  <c r="I174" i="22"/>
  <c r="H174" i="22"/>
  <c r="G174" i="22"/>
  <c r="F174" i="22"/>
  <c r="E174" i="22"/>
  <c r="T173" i="22"/>
  <c r="Q173" i="22"/>
  <c r="R173" i="22" s="1"/>
  <c r="N173" i="22"/>
  <c r="M173" i="22"/>
  <c r="L173" i="22"/>
  <c r="K173" i="22"/>
  <c r="J173" i="22"/>
  <c r="I173" i="22"/>
  <c r="H173" i="22"/>
  <c r="G173" i="22"/>
  <c r="F173" i="22"/>
  <c r="E173" i="22"/>
  <c r="T172" i="22"/>
  <c r="Q172" i="22"/>
  <c r="R172" i="22" s="1"/>
  <c r="N172" i="22"/>
  <c r="M172" i="22"/>
  <c r="L172" i="22"/>
  <c r="K172" i="22"/>
  <c r="J172" i="22"/>
  <c r="I172" i="22"/>
  <c r="H172" i="22"/>
  <c r="G172" i="22"/>
  <c r="F172" i="22"/>
  <c r="E172" i="22"/>
  <c r="T171" i="22"/>
  <c r="Q171" i="22"/>
  <c r="R171" i="22" s="1"/>
  <c r="N171" i="22"/>
  <c r="M171" i="22"/>
  <c r="L171" i="22"/>
  <c r="K171" i="22"/>
  <c r="J171" i="22"/>
  <c r="I171" i="22"/>
  <c r="H171" i="22"/>
  <c r="G171" i="22"/>
  <c r="F171" i="22"/>
  <c r="E171" i="22"/>
  <c r="T170" i="22"/>
  <c r="Q170" i="22"/>
  <c r="R170" i="22" s="1"/>
  <c r="N170" i="22"/>
  <c r="M170" i="22"/>
  <c r="L170" i="22"/>
  <c r="K170" i="22"/>
  <c r="J170" i="22"/>
  <c r="I170" i="22"/>
  <c r="H170" i="22"/>
  <c r="G170" i="22"/>
  <c r="F170" i="22"/>
  <c r="E170" i="22"/>
  <c r="T169" i="22"/>
  <c r="Q169" i="22"/>
  <c r="R169" i="22" s="1"/>
  <c r="N169" i="22"/>
  <c r="M169" i="22"/>
  <c r="L169" i="22"/>
  <c r="K169" i="22"/>
  <c r="J169" i="22"/>
  <c r="I169" i="22"/>
  <c r="H169" i="22"/>
  <c r="G169" i="22"/>
  <c r="F169" i="22"/>
  <c r="E169" i="22"/>
  <c r="T168" i="22"/>
  <c r="Q168" i="22"/>
  <c r="R168" i="22" s="1"/>
  <c r="N168" i="22"/>
  <c r="M168" i="22"/>
  <c r="L168" i="22"/>
  <c r="K168" i="22"/>
  <c r="J168" i="22"/>
  <c r="I168" i="22"/>
  <c r="H168" i="22"/>
  <c r="G168" i="22"/>
  <c r="F168" i="22"/>
  <c r="E168" i="22"/>
  <c r="T167" i="22"/>
  <c r="Q167" i="22"/>
  <c r="R167" i="22" s="1"/>
  <c r="N167" i="22"/>
  <c r="M167" i="22"/>
  <c r="L167" i="22"/>
  <c r="K167" i="22"/>
  <c r="J167" i="22"/>
  <c r="I167" i="22"/>
  <c r="H167" i="22"/>
  <c r="G167" i="22"/>
  <c r="F167" i="22"/>
  <c r="E167" i="22"/>
  <c r="T166" i="22"/>
  <c r="R166" i="22"/>
  <c r="Q166" i="22"/>
  <c r="N166" i="22"/>
  <c r="M166" i="22"/>
  <c r="L166" i="22"/>
  <c r="K166" i="22"/>
  <c r="J166" i="22"/>
  <c r="I166" i="22"/>
  <c r="H166" i="22"/>
  <c r="G166" i="22"/>
  <c r="F166" i="22"/>
  <c r="E166" i="22"/>
  <c r="T165" i="22"/>
  <c r="Q165" i="22"/>
  <c r="R165" i="22" s="1"/>
  <c r="N165" i="22"/>
  <c r="M165" i="22"/>
  <c r="L165" i="22"/>
  <c r="K165" i="22"/>
  <c r="J165" i="22"/>
  <c r="I165" i="22"/>
  <c r="H165" i="22"/>
  <c r="G165" i="22"/>
  <c r="F165" i="22"/>
  <c r="E165" i="22"/>
  <c r="T164" i="22"/>
  <c r="Q164" i="22"/>
  <c r="R164" i="22" s="1"/>
  <c r="N164" i="22"/>
  <c r="M164" i="22"/>
  <c r="L164" i="22"/>
  <c r="K164" i="22"/>
  <c r="J164" i="22"/>
  <c r="I164" i="22"/>
  <c r="H164" i="22"/>
  <c r="G164" i="22"/>
  <c r="F164" i="22"/>
  <c r="E164" i="22"/>
  <c r="T163" i="22"/>
  <c r="Q163" i="22"/>
  <c r="R163" i="22" s="1"/>
  <c r="N163" i="22"/>
  <c r="M163" i="22"/>
  <c r="L163" i="22"/>
  <c r="K163" i="22"/>
  <c r="J163" i="22"/>
  <c r="I163" i="22"/>
  <c r="H163" i="22"/>
  <c r="G163" i="22"/>
  <c r="F163" i="22"/>
  <c r="E163" i="22"/>
  <c r="T162" i="22"/>
  <c r="T176" i="22" s="1"/>
  <c r="Q162" i="22"/>
  <c r="R162" i="22" s="1"/>
  <c r="N162" i="22"/>
  <c r="M162" i="22"/>
  <c r="L162" i="22"/>
  <c r="K162" i="22"/>
  <c r="J162" i="22"/>
  <c r="I162" i="22"/>
  <c r="H162" i="22"/>
  <c r="G162" i="22"/>
  <c r="F162" i="22"/>
  <c r="E162" i="22"/>
  <c r="T161" i="22"/>
  <c r="Q161" i="22"/>
  <c r="R161" i="22" s="1"/>
  <c r="N161" i="22"/>
  <c r="M161" i="22"/>
  <c r="L161" i="22"/>
  <c r="K161" i="22"/>
  <c r="J161" i="22"/>
  <c r="I161" i="22"/>
  <c r="H161" i="22"/>
  <c r="G161" i="22"/>
  <c r="F161" i="22"/>
  <c r="E161" i="22"/>
  <c r="T160" i="22"/>
  <c r="Q160" i="22"/>
  <c r="R160" i="22" s="1"/>
  <c r="N160" i="22"/>
  <c r="M160" i="22"/>
  <c r="L160" i="22"/>
  <c r="K160" i="22"/>
  <c r="J160" i="22"/>
  <c r="I160" i="22"/>
  <c r="H160" i="22"/>
  <c r="G160" i="22"/>
  <c r="F160" i="22"/>
  <c r="E160" i="22"/>
  <c r="D152" i="22"/>
  <c r="D153" i="22" s="1"/>
  <c r="T151" i="22"/>
  <c r="Q151" i="22"/>
  <c r="R151" i="22" s="1"/>
  <c r="N151" i="22"/>
  <c r="M151" i="22"/>
  <c r="L151" i="22"/>
  <c r="K151" i="22"/>
  <c r="J151" i="22"/>
  <c r="I151" i="22"/>
  <c r="H151" i="22"/>
  <c r="G151" i="22"/>
  <c r="F151" i="22"/>
  <c r="E151" i="22"/>
  <c r="T150" i="22"/>
  <c r="Q150" i="22"/>
  <c r="R150" i="22" s="1"/>
  <c r="N150" i="22"/>
  <c r="M150" i="22"/>
  <c r="L150" i="22"/>
  <c r="K150" i="22"/>
  <c r="J150" i="22"/>
  <c r="I150" i="22"/>
  <c r="H150" i="22"/>
  <c r="G150" i="22"/>
  <c r="F150" i="22"/>
  <c r="E150" i="22"/>
  <c r="T149" i="22"/>
  <c r="Q149" i="22"/>
  <c r="R149" i="22" s="1"/>
  <c r="N149" i="22"/>
  <c r="M149" i="22"/>
  <c r="L149" i="22"/>
  <c r="K149" i="22"/>
  <c r="J149" i="22"/>
  <c r="I149" i="22"/>
  <c r="H149" i="22"/>
  <c r="G149" i="22"/>
  <c r="F149" i="22"/>
  <c r="E149" i="22"/>
  <c r="T148" i="22"/>
  <c r="Q148" i="22"/>
  <c r="R148" i="22" s="1"/>
  <c r="N148" i="22"/>
  <c r="M148" i="22"/>
  <c r="L148" i="22"/>
  <c r="K148" i="22"/>
  <c r="J148" i="22"/>
  <c r="I148" i="22"/>
  <c r="H148" i="22"/>
  <c r="G148" i="22"/>
  <c r="F148" i="22"/>
  <c r="E148" i="22"/>
  <c r="T147" i="22"/>
  <c r="Q147" i="22"/>
  <c r="R147" i="22" s="1"/>
  <c r="N147" i="22"/>
  <c r="M147" i="22"/>
  <c r="L147" i="22"/>
  <c r="K147" i="22"/>
  <c r="J147" i="22"/>
  <c r="I147" i="22"/>
  <c r="H147" i="22"/>
  <c r="G147" i="22"/>
  <c r="F147" i="22"/>
  <c r="E147" i="22"/>
  <c r="T146" i="22"/>
  <c r="Q146" i="22"/>
  <c r="R146" i="22" s="1"/>
  <c r="N146" i="22"/>
  <c r="M146" i="22"/>
  <c r="L146" i="22"/>
  <c r="K146" i="22"/>
  <c r="J146" i="22"/>
  <c r="I146" i="22"/>
  <c r="H146" i="22"/>
  <c r="G146" i="22"/>
  <c r="F146" i="22"/>
  <c r="E146" i="22"/>
  <c r="T145" i="22"/>
  <c r="Q145" i="22"/>
  <c r="R145" i="22" s="1"/>
  <c r="N145" i="22"/>
  <c r="M145" i="22"/>
  <c r="L145" i="22"/>
  <c r="K145" i="22"/>
  <c r="J145" i="22"/>
  <c r="I145" i="22"/>
  <c r="H145" i="22"/>
  <c r="G145" i="22"/>
  <c r="F145" i="22"/>
  <c r="E145" i="22"/>
  <c r="T144" i="22"/>
  <c r="Q144" i="22"/>
  <c r="R144" i="22" s="1"/>
  <c r="N144" i="22"/>
  <c r="M144" i="22"/>
  <c r="L144" i="22"/>
  <c r="K144" i="22"/>
  <c r="J144" i="22"/>
  <c r="I144" i="22"/>
  <c r="H144" i="22"/>
  <c r="G144" i="22"/>
  <c r="F144" i="22"/>
  <c r="E144" i="22"/>
  <c r="T143" i="22"/>
  <c r="Q143" i="22"/>
  <c r="R143" i="22" s="1"/>
  <c r="N143" i="22"/>
  <c r="M143" i="22"/>
  <c r="L143" i="22"/>
  <c r="K143" i="22"/>
  <c r="J143" i="22"/>
  <c r="I143" i="22"/>
  <c r="H143" i="22"/>
  <c r="G143" i="22"/>
  <c r="F143" i="22"/>
  <c r="E143" i="22"/>
  <c r="T142" i="22"/>
  <c r="Q142" i="22"/>
  <c r="R142" i="22" s="1"/>
  <c r="N142" i="22"/>
  <c r="M142" i="22"/>
  <c r="L142" i="22"/>
  <c r="K142" i="22"/>
  <c r="J142" i="22"/>
  <c r="I142" i="22"/>
  <c r="H142" i="22"/>
  <c r="G142" i="22"/>
  <c r="F142" i="22"/>
  <c r="E142" i="22"/>
  <c r="T141" i="22"/>
  <c r="Q141" i="22"/>
  <c r="R141" i="22" s="1"/>
  <c r="N141" i="22"/>
  <c r="M141" i="22"/>
  <c r="L141" i="22"/>
  <c r="K141" i="22"/>
  <c r="J141" i="22"/>
  <c r="I141" i="22"/>
  <c r="H141" i="22"/>
  <c r="G141" i="22"/>
  <c r="F141" i="22"/>
  <c r="E141" i="22"/>
  <c r="T140" i="22"/>
  <c r="Q140" i="22"/>
  <c r="R140" i="22" s="1"/>
  <c r="N140" i="22"/>
  <c r="M140" i="22"/>
  <c r="L140" i="22"/>
  <c r="K140" i="22"/>
  <c r="J140" i="22"/>
  <c r="I140" i="22"/>
  <c r="H140" i="22"/>
  <c r="G140" i="22"/>
  <c r="F140" i="22"/>
  <c r="E140" i="22"/>
  <c r="T139" i="22"/>
  <c r="Q139" i="22"/>
  <c r="R139" i="22" s="1"/>
  <c r="N139" i="22"/>
  <c r="M139" i="22"/>
  <c r="L139" i="22"/>
  <c r="K139" i="22"/>
  <c r="J139" i="22"/>
  <c r="I139" i="22"/>
  <c r="H139" i="22"/>
  <c r="G139" i="22"/>
  <c r="F139" i="22"/>
  <c r="E139" i="22"/>
  <c r="T138" i="22"/>
  <c r="Q138" i="22"/>
  <c r="R138" i="22" s="1"/>
  <c r="N138" i="22"/>
  <c r="M138" i="22"/>
  <c r="L138" i="22"/>
  <c r="K138" i="22"/>
  <c r="J138" i="22"/>
  <c r="I138" i="22"/>
  <c r="H138" i="22"/>
  <c r="G138" i="22"/>
  <c r="F138" i="22"/>
  <c r="E138" i="22"/>
  <c r="T137" i="22"/>
  <c r="Q137" i="22"/>
  <c r="R137" i="22" s="1"/>
  <c r="N137" i="22"/>
  <c r="M137" i="22"/>
  <c r="L137" i="22"/>
  <c r="K137" i="22"/>
  <c r="J137" i="22"/>
  <c r="I137" i="22"/>
  <c r="H137" i="22"/>
  <c r="G137" i="22"/>
  <c r="F137" i="22"/>
  <c r="E137" i="22"/>
  <c r="T136" i="22"/>
  <c r="Q136" i="22"/>
  <c r="R136" i="22" s="1"/>
  <c r="N136" i="22"/>
  <c r="M136" i="22"/>
  <c r="L136" i="22"/>
  <c r="K136" i="22"/>
  <c r="J136" i="22"/>
  <c r="I136" i="22"/>
  <c r="H136" i="22"/>
  <c r="G136" i="22"/>
  <c r="F136" i="22"/>
  <c r="E136" i="22"/>
  <c r="D128" i="22"/>
  <c r="D129" i="22" s="1"/>
  <c r="T127" i="22"/>
  <c r="Q127" i="22"/>
  <c r="R127" i="22" s="1"/>
  <c r="N127" i="22"/>
  <c r="M127" i="22"/>
  <c r="L127" i="22"/>
  <c r="K127" i="22"/>
  <c r="J127" i="22"/>
  <c r="I127" i="22"/>
  <c r="H127" i="22"/>
  <c r="G127" i="22"/>
  <c r="F127" i="22"/>
  <c r="E127" i="22"/>
  <c r="T126" i="22"/>
  <c r="Q126" i="22"/>
  <c r="R126" i="22" s="1"/>
  <c r="N126" i="22"/>
  <c r="M126" i="22"/>
  <c r="L126" i="22"/>
  <c r="K126" i="22"/>
  <c r="J126" i="22"/>
  <c r="I126" i="22"/>
  <c r="H126" i="22"/>
  <c r="G126" i="22"/>
  <c r="F126" i="22"/>
  <c r="E126" i="22"/>
  <c r="T125" i="22"/>
  <c r="Q125" i="22"/>
  <c r="R125" i="22" s="1"/>
  <c r="N125" i="22"/>
  <c r="M125" i="22"/>
  <c r="L125" i="22"/>
  <c r="K125" i="22"/>
  <c r="J125" i="22"/>
  <c r="I125" i="22"/>
  <c r="H125" i="22"/>
  <c r="G125" i="22"/>
  <c r="F125" i="22"/>
  <c r="E125" i="22"/>
  <c r="T124" i="22"/>
  <c r="Q124" i="22"/>
  <c r="R124" i="22" s="1"/>
  <c r="N124" i="22"/>
  <c r="M124" i="22"/>
  <c r="L124" i="22"/>
  <c r="K124" i="22"/>
  <c r="J124" i="22"/>
  <c r="I124" i="22"/>
  <c r="H124" i="22"/>
  <c r="G124" i="22"/>
  <c r="F124" i="22"/>
  <c r="E124" i="22"/>
  <c r="T123" i="22"/>
  <c r="Q123" i="22"/>
  <c r="R123" i="22" s="1"/>
  <c r="N123" i="22"/>
  <c r="M123" i="22"/>
  <c r="L123" i="22"/>
  <c r="K123" i="22"/>
  <c r="J123" i="22"/>
  <c r="I123" i="22"/>
  <c r="H123" i="22"/>
  <c r="G123" i="22"/>
  <c r="F123" i="22"/>
  <c r="E123" i="22"/>
  <c r="T122" i="22"/>
  <c r="Q122" i="22"/>
  <c r="R122" i="22" s="1"/>
  <c r="N122" i="22"/>
  <c r="M122" i="22"/>
  <c r="L122" i="22"/>
  <c r="K122" i="22"/>
  <c r="J122" i="22"/>
  <c r="I122" i="22"/>
  <c r="H122" i="22"/>
  <c r="G122" i="22"/>
  <c r="F122" i="22"/>
  <c r="E122" i="22"/>
  <c r="T121" i="22"/>
  <c r="Q121" i="22"/>
  <c r="R121" i="22" s="1"/>
  <c r="N121" i="22"/>
  <c r="M121" i="22"/>
  <c r="L121" i="22"/>
  <c r="K121" i="22"/>
  <c r="J121" i="22"/>
  <c r="I121" i="22"/>
  <c r="H121" i="22"/>
  <c r="G121" i="22"/>
  <c r="F121" i="22"/>
  <c r="E121" i="22"/>
  <c r="T120" i="22"/>
  <c r="Q120" i="22"/>
  <c r="R120" i="22" s="1"/>
  <c r="N120" i="22"/>
  <c r="M120" i="22"/>
  <c r="L120" i="22"/>
  <c r="K120" i="22"/>
  <c r="J120" i="22"/>
  <c r="I120" i="22"/>
  <c r="H120" i="22"/>
  <c r="G120" i="22"/>
  <c r="F120" i="22"/>
  <c r="E120" i="22"/>
  <c r="T119" i="22"/>
  <c r="Q119" i="22"/>
  <c r="R119" i="22" s="1"/>
  <c r="N119" i="22"/>
  <c r="M119" i="22"/>
  <c r="L119" i="22"/>
  <c r="K119" i="22"/>
  <c r="J119" i="22"/>
  <c r="I119" i="22"/>
  <c r="H119" i="22"/>
  <c r="G119" i="22"/>
  <c r="F119" i="22"/>
  <c r="E119" i="22"/>
  <c r="T118" i="22"/>
  <c r="Q118" i="22"/>
  <c r="R118" i="22" s="1"/>
  <c r="N118" i="22"/>
  <c r="M118" i="22"/>
  <c r="L118" i="22"/>
  <c r="K118" i="22"/>
  <c r="J118" i="22"/>
  <c r="I118" i="22"/>
  <c r="H118" i="22"/>
  <c r="G118" i="22"/>
  <c r="F118" i="22"/>
  <c r="E118" i="22"/>
  <c r="T117" i="22"/>
  <c r="Q117" i="22"/>
  <c r="R117" i="22" s="1"/>
  <c r="N117" i="22"/>
  <c r="M117" i="22"/>
  <c r="L117" i="22"/>
  <c r="K117" i="22"/>
  <c r="J117" i="22"/>
  <c r="I117" i="22"/>
  <c r="H117" i="22"/>
  <c r="G117" i="22"/>
  <c r="F117" i="22"/>
  <c r="E117" i="22"/>
  <c r="T116" i="22"/>
  <c r="Q116" i="22"/>
  <c r="R116" i="22" s="1"/>
  <c r="N116" i="22"/>
  <c r="M116" i="22"/>
  <c r="L116" i="22"/>
  <c r="K116" i="22"/>
  <c r="J116" i="22"/>
  <c r="I116" i="22"/>
  <c r="H116" i="22"/>
  <c r="G116" i="22"/>
  <c r="F116" i="22"/>
  <c r="E116" i="22"/>
  <c r="T115" i="22"/>
  <c r="Q115" i="22"/>
  <c r="R115" i="22" s="1"/>
  <c r="N115" i="22"/>
  <c r="M115" i="22"/>
  <c r="L115" i="22"/>
  <c r="K115" i="22"/>
  <c r="J115" i="22"/>
  <c r="I115" i="22"/>
  <c r="H115" i="22"/>
  <c r="G115" i="22"/>
  <c r="F115" i="22"/>
  <c r="E115" i="22"/>
  <c r="T114" i="22"/>
  <c r="Q114" i="22"/>
  <c r="R114" i="22" s="1"/>
  <c r="N114" i="22"/>
  <c r="M114" i="22"/>
  <c r="L114" i="22"/>
  <c r="K114" i="22"/>
  <c r="J114" i="22"/>
  <c r="I114" i="22"/>
  <c r="H114" i="22"/>
  <c r="G114" i="22"/>
  <c r="F114" i="22"/>
  <c r="E114" i="22"/>
  <c r="T113" i="22"/>
  <c r="Q113" i="22"/>
  <c r="R113" i="22" s="1"/>
  <c r="N113" i="22"/>
  <c r="M113" i="22"/>
  <c r="L113" i="22"/>
  <c r="K113" i="22"/>
  <c r="J113" i="22"/>
  <c r="I113" i="22"/>
  <c r="H113" i="22"/>
  <c r="G113" i="22"/>
  <c r="F113" i="22"/>
  <c r="E113" i="22"/>
  <c r="T112" i="22"/>
  <c r="Q112" i="22"/>
  <c r="R112" i="22" s="1"/>
  <c r="N112" i="22"/>
  <c r="M112" i="22"/>
  <c r="L112" i="22"/>
  <c r="K112" i="22"/>
  <c r="J112" i="22"/>
  <c r="I112" i="22"/>
  <c r="H112" i="22"/>
  <c r="G112" i="22"/>
  <c r="F112" i="22"/>
  <c r="E112" i="22"/>
  <c r="D104" i="22"/>
  <c r="D105" i="22" s="1"/>
  <c r="T103" i="22"/>
  <c r="Q103" i="22"/>
  <c r="R103" i="22" s="1"/>
  <c r="N103" i="22"/>
  <c r="M103" i="22"/>
  <c r="L103" i="22"/>
  <c r="K103" i="22"/>
  <c r="J103" i="22"/>
  <c r="I103" i="22"/>
  <c r="H103" i="22"/>
  <c r="G103" i="22"/>
  <c r="F103" i="22"/>
  <c r="E103" i="22"/>
  <c r="T102" i="22"/>
  <c r="Q102" i="22"/>
  <c r="R102" i="22" s="1"/>
  <c r="N102" i="22"/>
  <c r="M102" i="22"/>
  <c r="L102" i="22"/>
  <c r="K102" i="22"/>
  <c r="J102" i="22"/>
  <c r="I102" i="22"/>
  <c r="H102" i="22"/>
  <c r="G102" i="22"/>
  <c r="F102" i="22"/>
  <c r="E102" i="22"/>
  <c r="T101" i="22"/>
  <c r="Q101" i="22"/>
  <c r="R101" i="22" s="1"/>
  <c r="N101" i="22"/>
  <c r="M101" i="22"/>
  <c r="L101" i="22"/>
  <c r="K101" i="22"/>
  <c r="J101" i="22"/>
  <c r="I101" i="22"/>
  <c r="H101" i="22"/>
  <c r="G101" i="22"/>
  <c r="F101" i="22"/>
  <c r="E101" i="22"/>
  <c r="T100" i="22"/>
  <c r="Q100" i="22"/>
  <c r="R100" i="22" s="1"/>
  <c r="N100" i="22"/>
  <c r="M100" i="22"/>
  <c r="L100" i="22"/>
  <c r="K100" i="22"/>
  <c r="J100" i="22"/>
  <c r="I100" i="22"/>
  <c r="H100" i="22"/>
  <c r="G100" i="22"/>
  <c r="F100" i="22"/>
  <c r="E100" i="22"/>
  <c r="T99" i="22"/>
  <c r="Q99" i="22"/>
  <c r="R99" i="22" s="1"/>
  <c r="N99" i="22"/>
  <c r="M99" i="22"/>
  <c r="L99" i="22"/>
  <c r="K99" i="22"/>
  <c r="J99" i="22"/>
  <c r="I99" i="22"/>
  <c r="H99" i="22"/>
  <c r="G99" i="22"/>
  <c r="F99" i="22"/>
  <c r="E99" i="22"/>
  <c r="T98" i="22"/>
  <c r="Q98" i="22"/>
  <c r="R98" i="22" s="1"/>
  <c r="N98" i="22"/>
  <c r="M98" i="22"/>
  <c r="L98" i="22"/>
  <c r="K98" i="22"/>
  <c r="J98" i="22"/>
  <c r="I98" i="22"/>
  <c r="H98" i="22"/>
  <c r="G98" i="22"/>
  <c r="F98" i="22"/>
  <c r="E98" i="22"/>
  <c r="T97" i="22"/>
  <c r="Q97" i="22"/>
  <c r="R97" i="22" s="1"/>
  <c r="N97" i="22"/>
  <c r="M97" i="22"/>
  <c r="L97" i="22"/>
  <c r="K97" i="22"/>
  <c r="J97" i="22"/>
  <c r="I97" i="22"/>
  <c r="H97" i="22"/>
  <c r="G97" i="22"/>
  <c r="F97" i="22"/>
  <c r="E97" i="22"/>
  <c r="T96" i="22"/>
  <c r="Q96" i="22"/>
  <c r="R96" i="22" s="1"/>
  <c r="N96" i="22"/>
  <c r="M96" i="22"/>
  <c r="L96" i="22"/>
  <c r="K96" i="22"/>
  <c r="J96" i="22"/>
  <c r="I96" i="22"/>
  <c r="H96" i="22"/>
  <c r="G96" i="22"/>
  <c r="F96" i="22"/>
  <c r="E96" i="22"/>
  <c r="T95" i="22"/>
  <c r="Q95" i="22"/>
  <c r="R95" i="22" s="1"/>
  <c r="N95" i="22"/>
  <c r="M95" i="22"/>
  <c r="L95" i="22"/>
  <c r="K95" i="22"/>
  <c r="J95" i="22"/>
  <c r="I95" i="22"/>
  <c r="H95" i="22"/>
  <c r="G95" i="22"/>
  <c r="F95" i="22"/>
  <c r="E95" i="22"/>
  <c r="T94" i="22"/>
  <c r="Q94" i="22"/>
  <c r="R94" i="22" s="1"/>
  <c r="N94" i="22"/>
  <c r="M94" i="22"/>
  <c r="L94" i="22"/>
  <c r="K94" i="22"/>
  <c r="J94" i="22"/>
  <c r="I94" i="22"/>
  <c r="H94" i="22"/>
  <c r="G94" i="22"/>
  <c r="F94" i="22"/>
  <c r="E94" i="22"/>
  <c r="T93" i="22"/>
  <c r="Q93" i="22"/>
  <c r="R93" i="22" s="1"/>
  <c r="N93" i="22"/>
  <c r="M93" i="22"/>
  <c r="L93" i="22"/>
  <c r="K93" i="22"/>
  <c r="J93" i="22"/>
  <c r="I93" i="22"/>
  <c r="H93" i="22"/>
  <c r="G93" i="22"/>
  <c r="F93" i="22"/>
  <c r="E93" i="22"/>
  <c r="T92" i="22"/>
  <c r="Q92" i="22"/>
  <c r="R92" i="22" s="1"/>
  <c r="N92" i="22"/>
  <c r="M92" i="22"/>
  <c r="L92" i="22"/>
  <c r="K92" i="22"/>
  <c r="J92" i="22"/>
  <c r="I92" i="22"/>
  <c r="H92" i="22"/>
  <c r="G92" i="22"/>
  <c r="F92" i="22"/>
  <c r="E92" i="22"/>
  <c r="T91" i="22"/>
  <c r="Q91" i="22"/>
  <c r="R91" i="22" s="1"/>
  <c r="N91" i="22"/>
  <c r="M91" i="22"/>
  <c r="L91" i="22"/>
  <c r="K91" i="22"/>
  <c r="J91" i="22"/>
  <c r="I91" i="22"/>
  <c r="H91" i="22"/>
  <c r="G91" i="22"/>
  <c r="F91" i="22"/>
  <c r="E91" i="22"/>
  <c r="T90" i="22"/>
  <c r="Q90" i="22"/>
  <c r="R90" i="22" s="1"/>
  <c r="N90" i="22"/>
  <c r="M90" i="22"/>
  <c r="L90" i="22"/>
  <c r="K90" i="22"/>
  <c r="J90" i="22"/>
  <c r="I90" i="22"/>
  <c r="H90" i="22"/>
  <c r="G90" i="22"/>
  <c r="F90" i="22"/>
  <c r="E90" i="22"/>
  <c r="T89" i="22"/>
  <c r="Q89" i="22"/>
  <c r="R89" i="22" s="1"/>
  <c r="N89" i="22"/>
  <c r="M89" i="22"/>
  <c r="L89" i="22"/>
  <c r="K89" i="22"/>
  <c r="J89" i="22"/>
  <c r="I89" i="22"/>
  <c r="H89" i="22"/>
  <c r="G89" i="22"/>
  <c r="F89" i="22"/>
  <c r="E89" i="22"/>
  <c r="T88" i="22"/>
  <c r="Q88" i="22"/>
  <c r="R88" i="22" s="1"/>
  <c r="N88" i="22"/>
  <c r="M88" i="22"/>
  <c r="L88" i="22"/>
  <c r="K88" i="22"/>
  <c r="J88" i="22"/>
  <c r="I88" i="22"/>
  <c r="H88" i="22"/>
  <c r="G88" i="22"/>
  <c r="F88" i="22"/>
  <c r="E88" i="22"/>
  <c r="D80" i="22"/>
  <c r="D81" i="22" s="1"/>
  <c r="T79" i="22"/>
  <c r="Q79" i="22"/>
  <c r="R79" i="22" s="1"/>
  <c r="N79" i="22"/>
  <c r="M79" i="22"/>
  <c r="L79" i="22"/>
  <c r="K79" i="22"/>
  <c r="J79" i="22"/>
  <c r="I79" i="22"/>
  <c r="H79" i="22"/>
  <c r="G79" i="22"/>
  <c r="F79" i="22"/>
  <c r="E79" i="22"/>
  <c r="T78" i="22"/>
  <c r="Q78" i="22"/>
  <c r="R78" i="22" s="1"/>
  <c r="N78" i="22"/>
  <c r="M78" i="22"/>
  <c r="L78" i="22"/>
  <c r="K78" i="22"/>
  <c r="J78" i="22"/>
  <c r="I78" i="22"/>
  <c r="H78" i="22"/>
  <c r="G78" i="22"/>
  <c r="F78" i="22"/>
  <c r="E78" i="22"/>
  <c r="T77" i="22"/>
  <c r="Q77" i="22"/>
  <c r="R77" i="22" s="1"/>
  <c r="N77" i="22"/>
  <c r="M77" i="22"/>
  <c r="L77" i="22"/>
  <c r="K77" i="22"/>
  <c r="J77" i="22"/>
  <c r="I77" i="22"/>
  <c r="H77" i="22"/>
  <c r="G77" i="22"/>
  <c r="F77" i="22"/>
  <c r="E77" i="22"/>
  <c r="T76" i="22"/>
  <c r="Q76" i="22"/>
  <c r="R76" i="22" s="1"/>
  <c r="N76" i="22"/>
  <c r="M76" i="22"/>
  <c r="L76" i="22"/>
  <c r="K76" i="22"/>
  <c r="J76" i="22"/>
  <c r="I76" i="22"/>
  <c r="H76" i="22"/>
  <c r="G76" i="22"/>
  <c r="F76" i="22"/>
  <c r="E76" i="22"/>
  <c r="T75" i="22"/>
  <c r="Q75" i="22"/>
  <c r="R75" i="22" s="1"/>
  <c r="N75" i="22"/>
  <c r="M75" i="22"/>
  <c r="L75" i="22"/>
  <c r="K75" i="22"/>
  <c r="J75" i="22"/>
  <c r="I75" i="22"/>
  <c r="H75" i="22"/>
  <c r="G75" i="22"/>
  <c r="F75" i="22"/>
  <c r="E75" i="22"/>
  <c r="T74" i="22"/>
  <c r="Q74" i="22"/>
  <c r="R74" i="22" s="1"/>
  <c r="N74" i="22"/>
  <c r="M74" i="22"/>
  <c r="L74" i="22"/>
  <c r="K74" i="22"/>
  <c r="J74" i="22"/>
  <c r="I74" i="22"/>
  <c r="H74" i="22"/>
  <c r="G74" i="22"/>
  <c r="F74" i="22"/>
  <c r="E74" i="22"/>
  <c r="T73" i="22"/>
  <c r="Q73" i="22"/>
  <c r="R73" i="22" s="1"/>
  <c r="N73" i="22"/>
  <c r="M73" i="22"/>
  <c r="L73" i="22"/>
  <c r="K73" i="22"/>
  <c r="J73" i="22"/>
  <c r="I73" i="22"/>
  <c r="H73" i="22"/>
  <c r="G73" i="22"/>
  <c r="F73" i="22"/>
  <c r="E73" i="22"/>
  <c r="T72" i="22"/>
  <c r="Q72" i="22"/>
  <c r="R72" i="22" s="1"/>
  <c r="N72" i="22"/>
  <c r="M72" i="22"/>
  <c r="L72" i="22"/>
  <c r="K72" i="22"/>
  <c r="J72" i="22"/>
  <c r="I72" i="22"/>
  <c r="H72" i="22"/>
  <c r="G72" i="22"/>
  <c r="F72" i="22"/>
  <c r="E72" i="22"/>
  <c r="T71" i="22"/>
  <c r="Q71" i="22"/>
  <c r="R71" i="22" s="1"/>
  <c r="N71" i="22"/>
  <c r="M71" i="22"/>
  <c r="L71" i="22"/>
  <c r="K71" i="22"/>
  <c r="J71" i="22"/>
  <c r="I71" i="22"/>
  <c r="H71" i="22"/>
  <c r="G71" i="22"/>
  <c r="F71" i="22"/>
  <c r="E71" i="22"/>
  <c r="T70" i="22"/>
  <c r="Q70" i="22"/>
  <c r="R70" i="22" s="1"/>
  <c r="N70" i="22"/>
  <c r="M70" i="22"/>
  <c r="L70" i="22"/>
  <c r="K70" i="22"/>
  <c r="J70" i="22"/>
  <c r="I70" i="22"/>
  <c r="H70" i="22"/>
  <c r="G70" i="22"/>
  <c r="F70" i="22"/>
  <c r="E70" i="22"/>
  <c r="T69" i="22"/>
  <c r="Q69" i="22"/>
  <c r="R69" i="22" s="1"/>
  <c r="N69" i="22"/>
  <c r="M69" i="22"/>
  <c r="L69" i="22"/>
  <c r="K69" i="22"/>
  <c r="J69" i="22"/>
  <c r="I69" i="22"/>
  <c r="H69" i="22"/>
  <c r="G69" i="22"/>
  <c r="F69" i="22"/>
  <c r="E69" i="22"/>
  <c r="T68" i="22"/>
  <c r="Q68" i="22"/>
  <c r="R68" i="22" s="1"/>
  <c r="N68" i="22"/>
  <c r="M68" i="22"/>
  <c r="L68" i="22"/>
  <c r="K68" i="22"/>
  <c r="J68" i="22"/>
  <c r="I68" i="22"/>
  <c r="H68" i="22"/>
  <c r="G68" i="22"/>
  <c r="F68" i="22"/>
  <c r="E68" i="22"/>
  <c r="T67" i="22"/>
  <c r="Q67" i="22"/>
  <c r="R67" i="22" s="1"/>
  <c r="N67" i="22"/>
  <c r="M67" i="22"/>
  <c r="L67" i="22"/>
  <c r="K67" i="22"/>
  <c r="J67" i="22"/>
  <c r="I67" i="22"/>
  <c r="H67" i="22"/>
  <c r="G67" i="22"/>
  <c r="F67" i="22"/>
  <c r="E67" i="22"/>
  <c r="T66" i="22"/>
  <c r="Q66" i="22"/>
  <c r="R66" i="22" s="1"/>
  <c r="N66" i="22"/>
  <c r="M66" i="22"/>
  <c r="L66" i="22"/>
  <c r="K66" i="22"/>
  <c r="J66" i="22"/>
  <c r="I66" i="22"/>
  <c r="H66" i="22"/>
  <c r="G66" i="22"/>
  <c r="F66" i="22"/>
  <c r="E66" i="22"/>
  <c r="T65" i="22"/>
  <c r="Q65" i="22"/>
  <c r="R65" i="22" s="1"/>
  <c r="N65" i="22"/>
  <c r="M65" i="22"/>
  <c r="L65" i="22"/>
  <c r="K65" i="22"/>
  <c r="J65" i="22"/>
  <c r="I65" i="22"/>
  <c r="H65" i="22"/>
  <c r="G65" i="22"/>
  <c r="F65" i="22"/>
  <c r="E65" i="22"/>
  <c r="T64" i="22"/>
  <c r="Q64" i="22"/>
  <c r="R64" i="22" s="1"/>
  <c r="N64" i="22"/>
  <c r="M64" i="22"/>
  <c r="L64" i="22"/>
  <c r="K64" i="22"/>
  <c r="J64" i="22"/>
  <c r="I64" i="22"/>
  <c r="H64" i="22"/>
  <c r="G64" i="22"/>
  <c r="F64" i="22"/>
  <c r="E64" i="22"/>
  <c r="E224" i="22" l="1"/>
  <c r="J104" i="22"/>
  <c r="F248" i="22"/>
  <c r="H80" i="22"/>
  <c r="K224" i="22"/>
  <c r="J176" i="22"/>
  <c r="F200" i="22"/>
  <c r="E80" i="22"/>
  <c r="M80" i="22"/>
  <c r="G104" i="22"/>
  <c r="E152" i="22"/>
  <c r="G176" i="22"/>
  <c r="K200" i="22"/>
  <c r="H224" i="22"/>
  <c r="L248" i="22"/>
  <c r="F80" i="22"/>
  <c r="H104" i="22"/>
  <c r="E128" i="22"/>
  <c r="M128" i="22"/>
  <c r="F152" i="22"/>
  <c r="E248" i="22"/>
  <c r="F128" i="22"/>
  <c r="G152" i="22"/>
  <c r="I176" i="22"/>
  <c r="G248" i="22"/>
  <c r="I80" i="22"/>
  <c r="H128" i="22"/>
  <c r="G200" i="22"/>
  <c r="L224" i="22"/>
  <c r="H248" i="22"/>
  <c r="L104" i="22"/>
  <c r="L176" i="22"/>
  <c r="H200" i="22"/>
  <c r="I248" i="22"/>
  <c r="I128" i="22"/>
  <c r="E104" i="22"/>
  <c r="K152" i="22"/>
  <c r="E176" i="22"/>
  <c r="M176" i="22"/>
  <c r="G128" i="22"/>
  <c r="L80" i="22"/>
  <c r="F104" i="22"/>
  <c r="F176" i="22"/>
  <c r="G224" i="22"/>
  <c r="J80" i="22"/>
  <c r="K128" i="22"/>
  <c r="I152" i="22"/>
  <c r="M152" i="22"/>
  <c r="K176" i="22"/>
  <c r="E200" i="22"/>
  <c r="I200" i="22"/>
  <c r="M200" i="22"/>
  <c r="T200" i="22"/>
  <c r="F224" i="22"/>
  <c r="K248" i="22"/>
  <c r="G80" i="22"/>
  <c r="I104" i="22"/>
  <c r="M104" i="22"/>
  <c r="T104" i="22"/>
  <c r="L128" i="22"/>
  <c r="T128" i="22"/>
  <c r="J248" i="22"/>
  <c r="R80" i="22"/>
  <c r="J152" i="22"/>
  <c r="H176" i="22"/>
  <c r="J200" i="22"/>
  <c r="J224" i="22"/>
  <c r="M248" i="22"/>
  <c r="T80" i="22"/>
  <c r="K80" i="22"/>
  <c r="K104" i="22"/>
  <c r="J128" i="22"/>
  <c r="H152" i="22"/>
  <c r="L152" i="22"/>
  <c r="T152" i="22"/>
  <c r="L200" i="22"/>
  <c r="I224" i="22"/>
  <c r="M224" i="22"/>
  <c r="R248" i="22"/>
  <c r="R224" i="22"/>
  <c r="R200" i="22"/>
  <c r="R176" i="22"/>
  <c r="R152" i="22"/>
  <c r="R128" i="22"/>
  <c r="R104" i="22"/>
  <c r="AO127" i="30" l="1"/>
  <c r="AP127" i="30"/>
  <c r="AQ127" i="30"/>
  <c r="AR127" i="30"/>
  <c r="AS127" i="30"/>
  <c r="AT127" i="30"/>
  <c r="AU127" i="30"/>
  <c r="AV127" i="30"/>
  <c r="AW127" i="30"/>
  <c r="AX127" i="30"/>
  <c r="AY127" i="30"/>
  <c r="AZ127" i="30"/>
  <c r="BA127" i="30"/>
  <c r="BB127" i="30"/>
  <c r="BC127" i="30"/>
  <c r="BD127" i="30"/>
  <c r="BE127" i="30"/>
  <c r="BF127" i="30"/>
  <c r="BG127" i="30"/>
  <c r="BH127" i="30"/>
  <c r="C127" i="30"/>
  <c r="T127" i="30" s="1"/>
  <c r="AD127" i="30" l="1"/>
  <c r="V127" i="30"/>
  <c r="K127" i="30"/>
  <c r="AK127" i="30"/>
  <c r="U127" i="30"/>
  <c r="M127" i="30"/>
  <c r="AJ127" i="30"/>
  <c r="AB127" i="30"/>
  <c r="L127" i="30"/>
  <c r="AI127" i="30"/>
  <c r="AA127" i="30"/>
  <c r="S127" i="30"/>
  <c r="R127" i="30"/>
  <c r="AF127" i="30"/>
  <c r="AH127" i="30"/>
  <c r="Z127" i="30"/>
  <c r="AG127" i="30"/>
  <c r="Y127" i="30"/>
  <c r="Q127" i="30"/>
  <c r="AN127" i="30"/>
  <c r="X127" i="30"/>
  <c r="P127" i="30"/>
  <c r="AM127" i="30"/>
  <c r="AE127" i="30"/>
  <c r="W127" i="30"/>
  <c r="O127" i="30"/>
  <c r="AL127" i="30"/>
  <c r="N127" i="30"/>
  <c r="AC127" i="30"/>
  <c r="K24" i="29"/>
  <c r="K23" i="29"/>
  <c r="K25" i="29" s="1"/>
  <c r="J24" i="29"/>
  <c r="J25" i="29" s="1"/>
  <c r="J26" i="29" s="1"/>
  <c r="J23" i="29"/>
  <c r="I24" i="29"/>
  <c r="I23" i="29"/>
  <c r="I25" i="29" s="1"/>
  <c r="H24" i="29"/>
  <c r="H23" i="29"/>
  <c r="G24" i="29"/>
  <c r="G23" i="29"/>
  <c r="F24" i="29"/>
  <c r="F25" i="29" s="1"/>
  <c r="F23" i="29"/>
  <c r="E24" i="29"/>
  <c r="E23" i="29"/>
  <c r="D24" i="29"/>
  <c r="D23" i="29"/>
  <c r="C24" i="29"/>
  <c r="C23" i="29"/>
  <c r="B24" i="29"/>
  <c r="C4" i="22"/>
  <c r="D56" i="22"/>
  <c r="D57" i="22" s="1"/>
  <c r="T55" i="22"/>
  <c r="Q55" i="22"/>
  <c r="R55" i="22" s="1"/>
  <c r="N55" i="22"/>
  <c r="M55" i="22"/>
  <c r="L55" i="22"/>
  <c r="K55" i="22"/>
  <c r="J55" i="22"/>
  <c r="I55" i="22"/>
  <c r="H55" i="22"/>
  <c r="G55" i="22"/>
  <c r="F55" i="22"/>
  <c r="E55" i="22"/>
  <c r="T54" i="22"/>
  <c r="Q54" i="22"/>
  <c r="R54" i="22" s="1"/>
  <c r="N54" i="22"/>
  <c r="M54" i="22"/>
  <c r="L54" i="22"/>
  <c r="K54" i="22"/>
  <c r="J54" i="22"/>
  <c r="I54" i="22"/>
  <c r="H54" i="22"/>
  <c r="G54" i="22"/>
  <c r="F54" i="22"/>
  <c r="E54" i="22"/>
  <c r="T53" i="22"/>
  <c r="Q53" i="22"/>
  <c r="R53" i="22" s="1"/>
  <c r="N53" i="22"/>
  <c r="M53" i="22"/>
  <c r="L53" i="22"/>
  <c r="K53" i="22"/>
  <c r="J53" i="22"/>
  <c r="I53" i="22"/>
  <c r="H53" i="22"/>
  <c r="G53" i="22"/>
  <c r="F53" i="22"/>
  <c r="E53" i="22"/>
  <c r="T52" i="22"/>
  <c r="Q52" i="22"/>
  <c r="R52" i="22" s="1"/>
  <c r="N52" i="22"/>
  <c r="M52" i="22"/>
  <c r="L52" i="22"/>
  <c r="K52" i="22"/>
  <c r="J52" i="22"/>
  <c r="I52" i="22"/>
  <c r="H52" i="22"/>
  <c r="G52" i="22"/>
  <c r="F52" i="22"/>
  <c r="E52" i="22"/>
  <c r="T51" i="22"/>
  <c r="Q51" i="22"/>
  <c r="R51" i="22" s="1"/>
  <c r="N51" i="22"/>
  <c r="M51" i="22"/>
  <c r="L51" i="22"/>
  <c r="K51" i="22"/>
  <c r="J51" i="22"/>
  <c r="I51" i="22"/>
  <c r="H51" i="22"/>
  <c r="G51" i="22"/>
  <c r="F51" i="22"/>
  <c r="E51" i="22"/>
  <c r="T50" i="22"/>
  <c r="Q50" i="22"/>
  <c r="R50" i="22" s="1"/>
  <c r="N50" i="22"/>
  <c r="M50" i="22"/>
  <c r="L50" i="22"/>
  <c r="K50" i="22"/>
  <c r="J50" i="22"/>
  <c r="I50" i="22"/>
  <c r="H50" i="22"/>
  <c r="G50" i="22"/>
  <c r="F50" i="22"/>
  <c r="E50" i="22"/>
  <c r="T49" i="22"/>
  <c r="Q49" i="22"/>
  <c r="R49" i="22" s="1"/>
  <c r="N49" i="22"/>
  <c r="M49" i="22"/>
  <c r="L49" i="22"/>
  <c r="K49" i="22"/>
  <c r="J49" i="22"/>
  <c r="I49" i="22"/>
  <c r="H49" i="22"/>
  <c r="G49" i="22"/>
  <c r="F49" i="22"/>
  <c r="E49" i="22"/>
  <c r="T48" i="22"/>
  <c r="Q48" i="22"/>
  <c r="R48" i="22" s="1"/>
  <c r="N48" i="22"/>
  <c r="M48" i="22"/>
  <c r="L48" i="22"/>
  <c r="K48" i="22"/>
  <c r="J48" i="22"/>
  <c r="I48" i="22"/>
  <c r="H48" i="22"/>
  <c r="G48" i="22"/>
  <c r="F48" i="22"/>
  <c r="E48" i="22"/>
  <c r="T47" i="22"/>
  <c r="Q47" i="22"/>
  <c r="R47" i="22" s="1"/>
  <c r="N47" i="22"/>
  <c r="M47" i="22"/>
  <c r="L47" i="22"/>
  <c r="K47" i="22"/>
  <c r="J47" i="22"/>
  <c r="I47" i="22"/>
  <c r="H47" i="22"/>
  <c r="G47" i="22"/>
  <c r="F47" i="22"/>
  <c r="E47" i="22"/>
  <c r="T46" i="22"/>
  <c r="Q46" i="22"/>
  <c r="R46" i="22" s="1"/>
  <c r="N46" i="22"/>
  <c r="M46" i="22"/>
  <c r="L46" i="22"/>
  <c r="K46" i="22"/>
  <c r="J46" i="22"/>
  <c r="I46" i="22"/>
  <c r="H46" i="22"/>
  <c r="G46" i="22"/>
  <c r="F46" i="22"/>
  <c r="E46" i="22"/>
  <c r="T45" i="22"/>
  <c r="Q45" i="22"/>
  <c r="R45" i="22" s="1"/>
  <c r="N45" i="22"/>
  <c r="M45" i="22"/>
  <c r="L45" i="22"/>
  <c r="K45" i="22"/>
  <c r="J45" i="22"/>
  <c r="I45" i="22"/>
  <c r="H45" i="22"/>
  <c r="G45" i="22"/>
  <c r="F45" i="22"/>
  <c r="E45" i="22"/>
  <c r="T44" i="22"/>
  <c r="Q44" i="22"/>
  <c r="R44" i="22" s="1"/>
  <c r="N44" i="22"/>
  <c r="M44" i="22"/>
  <c r="L44" i="22"/>
  <c r="K44" i="22"/>
  <c r="J44" i="22"/>
  <c r="I44" i="22"/>
  <c r="H44" i="22"/>
  <c r="G44" i="22"/>
  <c r="F44" i="22"/>
  <c r="E44" i="22"/>
  <c r="T43" i="22"/>
  <c r="Q43" i="22"/>
  <c r="R43" i="22" s="1"/>
  <c r="N43" i="22"/>
  <c r="M43" i="22"/>
  <c r="L43" i="22"/>
  <c r="K43" i="22"/>
  <c r="J43" i="22"/>
  <c r="I43" i="22"/>
  <c r="H43" i="22"/>
  <c r="G43" i="22"/>
  <c r="F43" i="22"/>
  <c r="E43" i="22"/>
  <c r="T42" i="22"/>
  <c r="Q42" i="22"/>
  <c r="R42" i="22" s="1"/>
  <c r="N42" i="22"/>
  <c r="M42" i="22"/>
  <c r="L42" i="22"/>
  <c r="K42" i="22"/>
  <c r="J42" i="22"/>
  <c r="I42" i="22"/>
  <c r="H42" i="22"/>
  <c r="G42" i="22"/>
  <c r="F42" i="22"/>
  <c r="E42" i="22"/>
  <c r="T41" i="22"/>
  <c r="Q41" i="22"/>
  <c r="R41" i="22" s="1"/>
  <c r="N41" i="22"/>
  <c r="M41" i="22"/>
  <c r="L41" i="22"/>
  <c r="K41" i="22"/>
  <c r="J41" i="22"/>
  <c r="I41" i="22"/>
  <c r="H41" i="22"/>
  <c r="G41" i="22"/>
  <c r="F41" i="22"/>
  <c r="E41" i="22"/>
  <c r="T40" i="22"/>
  <c r="Q40" i="22"/>
  <c r="R40" i="22" s="1"/>
  <c r="N40" i="22"/>
  <c r="M40" i="22"/>
  <c r="L40" i="22"/>
  <c r="K40" i="22"/>
  <c r="J40" i="22"/>
  <c r="I40" i="22"/>
  <c r="H40" i="22"/>
  <c r="G40" i="22"/>
  <c r="F40" i="22"/>
  <c r="E40" i="22"/>
  <c r="E22" i="22"/>
  <c r="F22" i="22"/>
  <c r="G22" i="22"/>
  <c r="H22" i="22"/>
  <c r="I22" i="22"/>
  <c r="J22" i="22"/>
  <c r="K22" i="22"/>
  <c r="L22" i="22"/>
  <c r="M22" i="22"/>
  <c r="E23" i="22"/>
  <c r="F23" i="22"/>
  <c r="G23" i="22"/>
  <c r="H23" i="22"/>
  <c r="I23" i="22"/>
  <c r="J23" i="22"/>
  <c r="K23" i="22"/>
  <c r="L23" i="22"/>
  <c r="M23" i="22"/>
  <c r="E24" i="22"/>
  <c r="F24" i="22"/>
  <c r="G24" i="22"/>
  <c r="H24" i="22"/>
  <c r="I24" i="22"/>
  <c r="J24" i="22"/>
  <c r="K24" i="22"/>
  <c r="L24" i="22"/>
  <c r="M24" i="22"/>
  <c r="E25" i="22"/>
  <c r="F25" i="22"/>
  <c r="G25" i="22"/>
  <c r="H25" i="22"/>
  <c r="I25" i="22"/>
  <c r="J25" i="22"/>
  <c r="K25" i="22"/>
  <c r="L25" i="22"/>
  <c r="M25" i="22"/>
  <c r="E26" i="22"/>
  <c r="F26" i="22"/>
  <c r="G26" i="22"/>
  <c r="H26" i="22"/>
  <c r="I26" i="22"/>
  <c r="J26" i="22"/>
  <c r="K26" i="22"/>
  <c r="L26" i="22"/>
  <c r="M26" i="22"/>
  <c r="E27" i="22"/>
  <c r="F27" i="22"/>
  <c r="G27" i="22"/>
  <c r="H27" i="22"/>
  <c r="I27" i="22"/>
  <c r="J27" i="22"/>
  <c r="K27" i="22"/>
  <c r="L27" i="22"/>
  <c r="M27" i="22"/>
  <c r="E28" i="22"/>
  <c r="F28" i="22"/>
  <c r="G28" i="22"/>
  <c r="H28" i="22"/>
  <c r="I28" i="22"/>
  <c r="J28" i="22"/>
  <c r="K28" i="22"/>
  <c r="L28" i="22"/>
  <c r="M28" i="22"/>
  <c r="E29" i="22"/>
  <c r="F29" i="22"/>
  <c r="G29" i="22"/>
  <c r="H29" i="22"/>
  <c r="I29" i="22"/>
  <c r="J29" i="22"/>
  <c r="K29" i="22"/>
  <c r="L29" i="22"/>
  <c r="M29" i="22"/>
  <c r="E30" i="22"/>
  <c r="F30" i="22"/>
  <c r="G30" i="22"/>
  <c r="H30" i="22"/>
  <c r="I30" i="22"/>
  <c r="J30" i="22"/>
  <c r="K30" i="22"/>
  <c r="L30" i="22"/>
  <c r="M30" i="22"/>
  <c r="E31" i="22"/>
  <c r="F31" i="22"/>
  <c r="G31" i="22"/>
  <c r="H31" i="22"/>
  <c r="I31" i="22"/>
  <c r="J31" i="22"/>
  <c r="K31" i="22"/>
  <c r="L31" i="22"/>
  <c r="M31" i="22"/>
  <c r="C25" i="29" l="1"/>
  <c r="C26" i="29" s="1"/>
  <c r="H25" i="29"/>
  <c r="H26" i="29" s="1"/>
  <c r="G25" i="29"/>
  <c r="G26" i="29" s="1"/>
  <c r="E25" i="29"/>
  <c r="E26" i="29" s="1"/>
  <c r="D25" i="29"/>
  <c r="D26" i="29" s="1"/>
  <c r="K34" i="29"/>
  <c r="H28" i="29"/>
  <c r="J34" i="29"/>
  <c r="G32" i="29"/>
  <c r="D33" i="29"/>
  <c r="E33" i="29"/>
  <c r="I31" i="29"/>
  <c r="F31" i="29"/>
  <c r="I32" i="29"/>
  <c r="D30" i="29"/>
  <c r="E34" i="29"/>
  <c r="K26" i="29"/>
  <c r="I26" i="29"/>
  <c r="F26" i="29"/>
  <c r="H33" i="29"/>
  <c r="L56" i="22"/>
  <c r="D32" i="29"/>
  <c r="F33" i="29"/>
  <c r="F34" i="29"/>
  <c r="G34" i="29"/>
  <c r="H30" i="29"/>
  <c r="I34" i="29"/>
  <c r="I33" i="29"/>
  <c r="J29" i="29"/>
  <c r="K28" i="29"/>
  <c r="H29" i="29"/>
  <c r="E29" i="29"/>
  <c r="H31" i="29"/>
  <c r="J30" i="29"/>
  <c r="K29" i="29"/>
  <c r="F32" i="29"/>
  <c r="J28" i="29"/>
  <c r="D34" i="29"/>
  <c r="E30" i="29"/>
  <c r="G28" i="29"/>
  <c r="G33" i="29"/>
  <c r="H32" i="29"/>
  <c r="I28" i="29"/>
  <c r="K30" i="29"/>
  <c r="E31" i="29"/>
  <c r="F28" i="29"/>
  <c r="G29" i="29"/>
  <c r="I29" i="29"/>
  <c r="J32" i="29"/>
  <c r="K31" i="29"/>
  <c r="D28" i="29"/>
  <c r="E32" i="29"/>
  <c r="F29" i="29"/>
  <c r="G30" i="29"/>
  <c r="H34" i="29"/>
  <c r="I30" i="29"/>
  <c r="J33" i="29"/>
  <c r="K32" i="29"/>
  <c r="J31" i="29"/>
  <c r="D31" i="29"/>
  <c r="D29" i="29"/>
  <c r="E28" i="29"/>
  <c r="F30" i="29"/>
  <c r="G31" i="29"/>
  <c r="K33" i="29"/>
  <c r="T56" i="22"/>
  <c r="F56" i="22"/>
  <c r="C29" i="29" s="1"/>
  <c r="G56" i="22"/>
  <c r="C30" i="29" s="1"/>
  <c r="H56" i="22"/>
  <c r="C31" i="29" s="1"/>
  <c r="E56" i="22"/>
  <c r="C28" i="29" s="1"/>
  <c r="I56" i="22"/>
  <c r="C32" i="29" s="1"/>
  <c r="M56" i="22"/>
  <c r="J56" i="22"/>
  <c r="C33" i="29" s="1"/>
  <c r="K56" i="22"/>
  <c r="C34" i="29" s="1"/>
  <c r="R56" i="22"/>
  <c r="Q16" i="22" l="1"/>
  <c r="Q17" i="22"/>
  <c r="Q18" i="22"/>
  <c r="Q19" i="22"/>
  <c r="Q20" i="22"/>
  <c r="Q21" i="22"/>
  <c r="Q22" i="22"/>
  <c r="Q23" i="22"/>
  <c r="Q24" i="22"/>
  <c r="Q25" i="22"/>
  <c r="Q26" i="22"/>
  <c r="Q27" i="22"/>
  <c r="Q28" i="22"/>
  <c r="Q29" i="22"/>
  <c r="Q30" i="22"/>
  <c r="Q31" i="22"/>
  <c r="N16" i="22" l="1"/>
  <c r="N17" i="22"/>
  <c r="N18" i="22"/>
  <c r="N19" i="22"/>
  <c r="N20" i="22"/>
  <c r="N21" i="22"/>
  <c r="N22" i="22"/>
  <c r="N23" i="22"/>
  <c r="N24" i="22"/>
  <c r="N25" i="22"/>
  <c r="N26" i="22"/>
  <c r="N27" i="22"/>
  <c r="N28" i="22"/>
  <c r="N29" i="22"/>
  <c r="N30" i="22"/>
  <c r="N31" i="22"/>
  <c r="F16" i="22"/>
  <c r="F17" i="22"/>
  <c r="F18" i="22"/>
  <c r="F19" i="22"/>
  <c r="F20" i="22"/>
  <c r="F21" i="22"/>
  <c r="K16" i="22"/>
  <c r="K17" i="22"/>
  <c r="K18" i="22"/>
  <c r="K19" i="22"/>
  <c r="K20" i="22"/>
  <c r="K21" i="22"/>
  <c r="L16" i="22"/>
  <c r="L17" i="22"/>
  <c r="L18" i="22"/>
  <c r="L19" i="22"/>
  <c r="L20" i="22"/>
  <c r="L21" i="22"/>
  <c r="M16" i="22"/>
  <c r="M17" i="22"/>
  <c r="M18" i="22"/>
  <c r="M19" i="22"/>
  <c r="M20" i="22"/>
  <c r="M21" i="22"/>
  <c r="J21" i="22"/>
  <c r="I21" i="22"/>
  <c r="H21" i="22"/>
  <c r="G21" i="22"/>
  <c r="E21" i="22"/>
  <c r="J20" i="22"/>
  <c r="I20" i="22"/>
  <c r="H20" i="22"/>
  <c r="G20" i="22"/>
  <c r="E20" i="22"/>
  <c r="J19" i="22"/>
  <c r="I19" i="22"/>
  <c r="H19" i="22"/>
  <c r="G19" i="22"/>
  <c r="E19" i="22"/>
  <c r="J18" i="22"/>
  <c r="I18" i="22"/>
  <c r="H18" i="22"/>
  <c r="G18" i="22"/>
  <c r="E18" i="22"/>
  <c r="J17" i="22"/>
  <c r="I17" i="22"/>
  <c r="H17" i="22"/>
  <c r="G17" i="22"/>
  <c r="E17" i="22"/>
  <c r="J16" i="22"/>
  <c r="I16" i="22"/>
  <c r="H16" i="22"/>
  <c r="G16" i="22"/>
  <c r="E16" i="22"/>
  <c r="I32" i="22" l="1"/>
  <c r="B32" i="29" s="1"/>
  <c r="G32" i="22"/>
  <c r="B30" i="29" s="1"/>
  <c r="H32" i="22"/>
  <c r="B31" i="29" s="1"/>
  <c r="E32" i="22"/>
  <c r="B28" i="29" s="1"/>
  <c r="M32" i="22"/>
  <c r="L32" i="22"/>
  <c r="C7" i="22" s="1"/>
  <c r="K32" i="22"/>
  <c r="B34" i="29" s="1"/>
  <c r="J32" i="22"/>
  <c r="B33" i="29" s="1"/>
  <c r="F32" i="22"/>
  <c r="B29" i="29" s="1"/>
  <c r="I16" i="21"/>
  <c r="I19" i="21"/>
  <c r="I22" i="21"/>
  <c r="I25" i="21"/>
  <c r="I28" i="21"/>
  <c r="H17" i="23"/>
  <c r="H18" i="23"/>
  <c r="H19" i="23"/>
  <c r="H20" i="23"/>
  <c r="H21" i="23"/>
  <c r="H22" i="23"/>
  <c r="H23" i="23"/>
  <c r="H24" i="23"/>
  <c r="H25" i="23"/>
  <c r="H26" i="23"/>
  <c r="H27" i="23"/>
  <c r="C12" i="23"/>
  <c r="C8" i="24" s="1"/>
  <c r="W17" i="29" l="1"/>
  <c r="W18" i="29" l="1"/>
  <c r="W19" i="29" s="1"/>
  <c r="W20" i="29" s="1"/>
  <c r="C47" i="24"/>
  <c r="C7" i="13"/>
  <c r="C35" i="24" l="1"/>
  <c r="C34" i="24"/>
  <c r="T17" i="22"/>
  <c r="T18" i="22"/>
  <c r="T19" i="22"/>
  <c r="T20" i="22"/>
  <c r="T21" i="22"/>
  <c r="T22" i="22"/>
  <c r="T23" i="22"/>
  <c r="T24" i="22"/>
  <c r="T25" i="22"/>
  <c r="T26" i="22"/>
  <c r="T27" i="22"/>
  <c r="T28" i="22"/>
  <c r="T29" i="22"/>
  <c r="T30" i="22"/>
  <c r="T31" i="22"/>
  <c r="T16" i="22"/>
  <c r="E118" i="30"/>
  <c r="E119" i="30"/>
  <c r="E120" i="30"/>
  <c r="E121" i="30"/>
  <c r="E122" i="30"/>
  <c r="E123" i="30"/>
  <c r="E124" i="30"/>
  <c r="E125" i="30"/>
  <c r="E126" i="30"/>
  <c r="E117" i="30"/>
  <c r="C118" i="30"/>
  <c r="AA118" i="30" s="1"/>
  <c r="C119" i="30"/>
  <c r="U119" i="30" s="1"/>
  <c r="C120" i="30"/>
  <c r="X120" i="30" s="1"/>
  <c r="C121" i="30"/>
  <c r="C122" i="30"/>
  <c r="C123" i="30"/>
  <c r="C124" i="30"/>
  <c r="C125" i="30"/>
  <c r="C126" i="30"/>
  <c r="C117" i="30"/>
  <c r="AC117" i="30" s="1"/>
  <c r="B118" i="30"/>
  <c r="B132" i="30" s="1"/>
  <c r="B119" i="30"/>
  <c r="B133" i="30" s="1"/>
  <c r="B120" i="30"/>
  <c r="B134" i="30" s="1"/>
  <c r="B121" i="30"/>
  <c r="B122" i="30"/>
  <c r="B136" i="30" s="1"/>
  <c r="B123" i="30"/>
  <c r="B137" i="30" s="1"/>
  <c r="B124" i="30"/>
  <c r="B138" i="30" s="1"/>
  <c r="B125" i="30"/>
  <c r="B139" i="30" s="1"/>
  <c r="B126" i="30"/>
  <c r="B140" i="30" s="1"/>
  <c r="B141" i="30"/>
  <c r="B117" i="30"/>
  <c r="B131" i="30" s="1"/>
  <c r="E29" i="30"/>
  <c r="C29" i="30"/>
  <c r="D3" i="30"/>
  <c r="E164" i="30"/>
  <c r="E168" i="30" s="1"/>
  <c r="BH149" i="30"/>
  <c r="BG149" i="30"/>
  <c r="BF149" i="30"/>
  <c r="BE149" i="30"/>
  <c r="BD149" i="30"/>
  <c r="BC149" i="30"/>
  <c r="BB149" i="30"/>
  <c r="BA149" i="30"/>
  <c r="AZ149" i="30"/>
  <c r="AY149" i="30"/>
  <c r="AX149" i="30"/>
  <c r="AW149" i="30"/>
  <c r="AV149" i="30"/>
  <c r="AU149" i="30"/>
  <c r="AT149" i="30"/>
  <c r="AS149" i="30"/>
  <c r="AR149" i="30"/>
  <c r="AQ149" i="30"/>
  <c r="AP149" i="30"/>
  <c r="AO149" i="30"/>
  <c r="AN149" i="30"/>
  <c r="AM149" i="30"/>
  <c r="AL149" i="30"/>
  <c r="AK149" i="30"/>
  <c r="AJ149" i="30"/>
  <c r="AI149" i="30"/>
  <c r="AH149" i="30"/>
  <c r="AG149" i="30"/>
  <c r="AF149" i="30"/>
  <c r="AE149" i="30"/>
  <c r="AD149" i="30"/>
  <c r="AC149" i="30"/>
  <c r="AB149" i="30"/>
  <c r="AA149" i="30"/>
  <c r="Z149" i="30"/>
  <c r="Y149" i="30"/>
  <c r="X149" i="30"/>
  <c r="W149" i="30"/>
  <c r="V149" i="30"/>
  <c r="U149" i="30"/>
  <c r="T149" i="30"/>
  <c r="S149" i="30"/>
  <c r="R149" i="30"/>
  <c r="Q149" i="30"/>
  <c r="P149" i="30"/>
  <c r="O149" i="30"/>
  <c r="N149" i="30"/>
  <c r="M149" i="30"/>
  <c r="L149" i="30"/>
  <c r="K149" i="30"/>
  <c r="J149" i="30"/>
  <c r="B135" i="30"/>
  <c r="J128" i="30"/>
  <c r="BH126" i="30"/>
  <c r="BG126" i="30"/>
  <c r="BF126" i="30"/>
  <c r="BE126" i="30"/>
  <c r="BD126" i="30"/>
  <c r="BC126" i="30"/>
  <c r="BB126" i="30"/>
  <c r="BA126" i="30"/>
  <c r="AZ126" i="30"/>
  <c r="AY126" i="30"/>
  <c r="AX126" i="30"/>
  <c r="AW126" i="30"/>
  <c r="AV126" i="30"/>
  <c r="AU126" i="30"/>
  <c r="AT126" i="30"/>
  <c r="AS126" i="30"/>
  <c r="AR126" i="30"/>
  <c r="AQ126" i="30"/>
  <c r="AP126" i="30"/>
  <c r="AO126" i="30"/>
  <c r="AN126" i="30"/>
  <c r="AM126" i="30"/>
  <c r="AL126" i="30"/>
  <c r="AK126" i="30"/>
  <c r="AJ126" i="30"/>
  <c r="AI126" i="30"/>
  <c r="AH126" i="30"/>
  <c r="AG126" i="30"/>
  <c r="AF126" i="30"/>
  <c r="AE126" i="30"/>
  <c r="AD126" i="30"/>
  <c r="AC126" i="30"/>
  <c r="AB126" i="30"/>
  <c r="AA126" i="30"/>
  <c r="Z126" i="30"/>
  <c r="Y126" i="30"/>
  <c r="X126" i="30"/>
  <c r="W126" i="30"/>
  <c r="V126" i="30"/>
  <c r="U126" i="30"/>
  <c r="T126" i="30"/>
  <c r="S126" i="30"/>
  <c r="R126" i="30"/>
  <c r="Q126" i="30"/>
  <c r="P126" i="30"/>
  <c r="O126" i="30"/>
  <c r="N126" i="30"/>
  <c r="M126" i="30"/>
  <c r="L126" i="30"/>
  <c r="K126" i="30"/>
  <c r="BH125" i="30"/>
  <c r="BG125" i="30"/>
  <c r="BF125" i="30"/>
  <c r="BE125" i="30"/>
  <c r="BD125" i="30"/>
  <c r="BC125" i="30"/>
  <c r="BB125" i="30"/>
  <c r="BA125" i="30"/>
  <c r="AZ125" i="30"/>
  <c r="AY125" i="30"/>
  <c r="AX125" i="30"/>
  <c r="AW125" i="30"/>
  <c r="AV125" i="30"/>
  <c r="AU125" i="30"/>
  <c r="AT125" i="30"/>
  <c r="AS125" i="30"/>
  <c r="AR125" i="30"/>
  <c r="AQ125" i="30"/>
  <c r="AP125" i="30"/>
  <c r="AO125" i="30"/>
  <c r="AN125" i="30"/>
  <c r="AM125" i="30"/>
  <c r="AL125" i="30"/>
  <c r="AK125" i="30"/>
  <c r="AJ125" i="30"/>
  <c r="AI125" i="30"/>
  <c r="AH125" i="30"/>
  <c r="AG125" i="30"/>
  <c r="AF125" i="30"/>
  <c r="AE125" i="30"/>
  <c r="AD125" i="30"/>
  <c r="AC125" i="30"/>
  <c r="AB125" i="30"/>
  <c r="AA125" i="30"/>
  <c r="Z125" i="30"/>
  <c r="Y125" i="30"/>
  <c r="X125" i="30"/>
  <c r="W125" i="30"/>
  <c r="V125" i="30"/>
  <c r="U125" i="30"/>
  <c r="T125" i="30"/>
  <c r="S125" i="30"/>
  <c r="R125" i="30"/>
  <c r="Q125" i="30"/>
  <c r="P125" i="30"/>
  <c r="O125" i="30"/>
  <c r="N125" i="30"/>
  <c r="M125" i="30"/>
  <c r="L125" i="30"/>
  <c r="K125" i="30"/>
  <c r="BH124" i="30"/>
  <c r="BG124" i="30"/>
  <c r="BF124" i="30"/>
  <c r="BE124" i="30"/>
  <c r="BD124" i="30"/>
  <c r="BC124" i="30"/>
  <c r="BB124" i="30"/>
  <c r="BA124" i="30"/>
  <c r="AZ124" i="30"/>
  <c r="AY124" i="30"/>
  <c r="AX124" i="30"/>
  <c r="AW124" i="30"/>
  <c r="AV124" i="30"/>
  <c r="AU124" i="30"/>
  <c r="AT124" i="30"/>
  <c r="AS124" i="30"/>
  <c r="AR124" i="30"/>
  <c r="AQ124" i="30"/>
  <c r="AP124" i="30"/>
  <c r="AO124" i="30"/>
  <c r="AN124" i="30"/>
  <c r="AM124" i="30"/>
  <c r="AL124" i="30"/>
  <c r="AK124" i="30"/>
  <c r="AJ124" i="30"/>
  <c r="AI124" i="30"/>
  <c r="AH124" i="30"/>
  <c r="AG124" i="30"/>
  <c r="AF124" i="30"/>
  <c r="AE124" i="30"/>
  <c r="AD124" i="30"/>
  <c r="AC124" i="30"/>
  <c r="AB124" i="30"/>
  <c r="AA124" i="30"/>
  <c r="Z124" i="30"/>
  <c r="Y124" i="30"/>
  <c r="X124" i="30"/>
  <c r="W124" i="30"/>
  <c r="V124" i="30"/>
  <c r="U124" i="30"/>
  <c r="T124" i="30"/>
  <c r="S124" i="30"/>
  <c r="R124" i="30"/>
  <c r="Q124" i="30"/>
  <c r="P124" i="30"/>
  <c r="O124" i="30"/>
  <c r="N124" i="30"/>
  <c r="M124" i="30"/>
  <c r="L124" i="30"/>
  <c r="K124" i="30"/>
  <c r="BH123" i="30"/>
  <c r="BG123" i="30"/>
  <c r="BF123" i="30"/>
  <c r="BE123" i="30"/>
  <c r="BD123" i="30"/>
  <c r="BC123" i="30"/>
  <c r="BB123" i="30"/>
  <c r="BA123" i="30"/>
  <c r="AZ123" i="30"/>
  <c r="AY123" i="30"/>
  <c r="AX123" i="30"/>
  <c r="AW123" i="30"/>
  <c r="AV123" i="30"/>
  <c r="AU123" i="30"/>
  <c r="AT123" i="30"/>
  <c r="AS123" i="30"/>
  <c r="AR123" i="30"/>
  <c r="AQ123" i="30"/>
  <c r="AP123" i="30"/>
  <c r="AO123" i="30"/>
  <c r="AN123" i="30"/>
  <c r="AM123" i="30"/>
  <c r="AL123" i="30"/>
  <c r="AK123" i="30"/>
  <c r="AJ123" i="30"/>
  <c r="AI123" i="30"/>
  <c r="AH123" i="30"/>
  <c r="AG123" i="30"/>
  <c r="AF123" i="30"/>
  <c r="AE123" i="30"/>
  <c r="AD123" i="30"/>
  <c r="AC123" i="30"/>
  <c r="AB123" i="30"/>
  <c r="AA123" i="30"/>
  <c r="Z123" i="30"/>
  <c r="Y123" i="30"/>
  <c r="X123" i="30"/>
  <c r="W123" i="30"/>
  <c r="V123" i="30"/>
  <c r="U123" i="30"/>
  <c r="T123" i="30"/>
  <c r="S123" i="30"/>
  <c r="R123" i="30"/>
  <c r="Q123" i="30"/>
  <c r="P123" i="30"/>
  <c r="O123" i="30"/>
  <c r="N123" i="30"/>
  <c r="M123" i="30"/>
  <c r="L123" i="30"/>
  <c r="K123" i="30"/>
  <c r="BH122" i="30"/>
  <c r="BG122" i="30"/>
  <c r="BF122" i="30"/>
  <c r="BE122" i="30"/>
  <c r="BD122" i="30"/>
  <c r="BC122" i="30"/>
  <c r="BB122" i="30"/>
  <c r="BA122" i="30"/>
  <c r="AZ122" i="30"/>
  <c r="AY122" i="30"/>
  <c r="AX122" i="30"/>
  <c r="AW122" i="30"/>
  <c r="AV122" i="30"/>
  <c r="AU122" i="30"/>
  <c r="AT122" i="30"/>
  <c r="AS122" i="30"/>
  <c r="AR122" i="30"/>
  <c r="AQ122" i="30"/>
  <c r="AP122" i="30"/>
  <c r="AO122" i="30"/>
  <c r="AN122" i="30"/>
  <c r="AM122" i="30"/>
  <c r="AL122" i="30"/>
  <c r="AK122" i="30"/>
  <c r="AJ122" i="30"/>
  <c r="AI122" i="30"/>
  <c r="AH122" i="30"/>
  <c r="AG122" i="30"/>
  <c r="AF122" i="30"/>
  <c r="AE122" i="30"/>
  <c r="AD122" i="30"/>
  <c r="AC122" i="30"/>
  <c r="AB122" i="30"/>
  <c r="AA122" i="30"/>
  <c r="Z122" i="30"/>
  <c r="Y122" i="30"/>
  <c r="X122" i="30"/>
  <c r="W122" i="30"/>
  <c r="V122" i="30"/>
  <c r="U122" i="30"/>
  <c r="T122" i="30"/>
  <c r="S122" i="30"/>
  <c r="R122" i="30"/>
  <c r="Q122" i="30"/>
  <c r="P122" i="30"/>
  <c r="O122" i="30"/>
  <c r="N122" i="30"/>
  <c r="M122" i="30"/>
  <c r="L122" i="30"/>
  <c r="K122" i="30"/>
  <c r="BH121" i="30"/>
  <c r="BG121" i="30"/>
  <c r="BF121" i="30"/>
  <c r="BE121" i="30"/>
  <c r="BD121" i="30"/>
  <c r="BC121" i="30"/>
  <c r="BB121" i="30"/>
  <c r="BA121" i="30"/>
  <c r="AZ121" i="30"/>
  <c r="AY121" i="30"/>
  <c r="AX121" i="30"/>
  <c r="AW121" i="30"/>
  <c r="AV121" i="30"/>
  <c r="AU121" i="30"/>
  <c r="AT121" i="30"/>
  <c r="AS121" i="30"/>
  <c r="AR121" i="30"/>
  <c r="AQ121" i="30"/>
  <c r="AP121" i="30"/>
  <c r="AO121" i="30"/>
  <c r="AN121" i="30"/>
  <c r="AM121" i="30"/>
  <c r="AL121" i="30"/>
  <c r="AK121" i="30"/>
  <c r="AJ121" i="30"/>
  <c r="AI121" i="30"/>
  <c r="AH121" i="30"/>
  <c r="AG121" i="30"/>
  <c r="AF121" i="30"/>
  <c r="AE121" i="30"/>
  <c r="AD121" i="30"/>
  <c r="AC121" i="30"/>
  <c r="AB121" i="30"/>
  <c r="AA121" i="30"/>
  <c r="Z121" i="30"/>
  <c r="Y121" i="30"/>
  <c r="X121" i="30"/>
  <c r="W121" i="30"/>
  <c r="V121" i="30"/>
  <c r="U121" i="30"/>
  <c r="T121" i="30"/>
  <c r="S121" i="30"/>
  <c r="R121" i="30"/>
  <c r="Q121" i="30"/>
  <c r="P121" i="30"/>
  <c r="O121" i="30"/>
  <c r="N121" i="30"/>
  <c r="M121" i="30"/>
  <c r="L121" i="30"/>
  <c r="K121" i="30"/>
  <c r="BH120" i="30"/>
  <c r="BG120" i="30"/>
  <c r="BF120" i="30"/>
  <c r="BE120" i="30"/>
  <c r="BD120" i="30"/>
  <c r="BC120" i="30"/>
  <c r="BB120" i="30"/>
  <c r="BA120" i="30"/>
  <c r="AZ120" i="30"/>
  <c r="AY120" i="30"/>
  <c r="AX120" i="30"/>
  <c r="AW120" i="30"/>
  <c r="AV120" i="30"/>
  <c r="AU120" i="30"/>
  <c r="AT120" i="30"/>
  <c r="AS120" i="30"/>
  <c r="AR120" i="30"/>
  <c r="AQ120" i="30"/>
  <c r="AP120" i="30"/>
  <c r="AO120" i="30"/>
  <c r="AN120" i="30"/>
  <c r="AM120" i="30"/>
  <c r="AL120" i="30"/>
  <c r="AK120" i="30"/>
  <c r="AJ120" i="30"/>
  <c r="AI120" i="30"/>
  <c r="AH120" i="30"/>
  <c r="AG120" i="30"/>
  <c r="AF120" i="30"/>
  <c r="AE120" i="30"/>
  <c r="AD120" i="30"/>
  <c r="AC120" i="30"/>
  <c r="AB120" i="30"/>
  <c r="AA120" i="30"/>
  <c r="Z120" i="30"/>
  <c r="K120" i="30"/>
  <c r="BH119" i="30"/>
  <c r="BG119" i="30"/>
  <c r="BF119" i="30"/>
  <c r="BE119" i="30"/>
  <c r="BD119" i="30"/>
  <c r="BC119" i="30"/>
  <c r="BB119" i="30"/>
  <c r="BA119" i="30"/>
  <c r="AZ119" i="30"/>
  <c r="AY119" i="30"/>
  <c r="AX119" i="30"/>
  <c r="AW119" i="30"/>
  <c r="AV119" i="30"/>
  <c r="AU119" i="30"/>
  <c r="AT119" i="30"/>
  <c r="AS119" i="30"/>
  <c r="AR119" i="30"/>
  <c r="AQ119" i="30"/>
  <c r="AP119" i="30"/>
  <c r="AO119" i="30"/>
  <c r="BH118" i="30"/>
  <c r="BG118" i="30"/>
  <c r="BF118" i="30"/>
  <c r="BE118" i="30"/>
  <c r="BD118" i="30"/>
  <c r="BC118" i="30"/>
  <c r="BB118" i="30"/>
  <c r="BA118" i="30"/>
  <c r="AZ118" i="30"/>
  <c r="AY118" i="30"/>
  <c r="AX118" i="30"/>
  <c r="AW118" i="30"/>
  <c r="AV118" i="30"/>
  <c r="AU118" i="30"/>
  <c r="AT118" i="30"/>
  <c r="AS118" i="30"/>
  <c r="AR118" i="30"/>
  <c r="AQ118" i="30"/>
  <c r="AP118" i="30"/>
  <c r="AO118" i="30"/>
  <c r="AI118" i="30"/>
  <c r="AH118" i="30"/>
  <c r="AF118" i="30"/>
  <c r="AC118" i="30"/>
  <c r="Z118" i="30"/>
  <c r="Y118" i="30"/>
  <c r="X118" i="30"/>
  <c r="W118" i="30"/>
  <c r="S118" i="30"/>
  <c r="R118" i="30"/>
  <c r="Q118" i="30"/>
  <c r="P118" i="30"/>
  <c r="O118" i="30"/>
  <c r="M118" i="30"/>
  <c r="K118" i="30"/>
  <c r="BH117" i="30"/>
  <c r="BG117" i="30"/>
  <c r="BF117" i="30"/>
  <c r="BE117" i="30"/>
  <c r="BD117" i="30"/>
  <c r="BC117" i="30"/>
  <c r="BB117" i="30"/>
  <c r="BA117" i="30"/>
  <c r="AZ117" i="30"/>
  <c r="AY117" i="30"/>
  <c r="AX117" i="30"/>
  <c r="AW117" i="30"/>
  <c r="AV117" i="30"/>
  <c r="AU117" i="30"/>
  <c r="AT117" i="30"/>
  <c r="AS117" i="30"/>
  <c r="AR117" i="30"/>
  <c r="AQ117" i="30"/>
  <c r="AP117" i="30"/>
  <c r="AO117" i="30"/>
  <c r="L116" i="30"/>
  <c r="M116" i="30" s="1"/>
  <c r="N116" i="30" s="1"/>
  <c r="O116" i="30" s="1"/>
  <c r="P116" i="30" s="1"/>
  <c r="Q116" i="30" s="1"/>
  <c r="R116" i="30" s="1"/>
  <c r="S116" i="30" s="1"/>
  <c r="T116" i="30" s="1"/>
  <c r="U116" i="30" s="1"/>
  <c r="V116" i="30" s="1"/>
  <c r="W116" i="30" s="1"/>
  <c r="X116" i="30" s="1"/>
  <c r="Y116" i="30" s="1"/>
  <c r="Z116" i="30" s="1"/>
  <c r="AA116" i="30" s="1"/>
  <c r="AB116" i="30" s="1"/>
  <c r="AC116" i="30" s="1"/>
  <c r="AD116" i="30" s="1"/>
  <c r="AE116" i="30" s="1"/>
  <c r="AF116" i="30" s="1"/>
  <c r="AG116" i="30" s="1"/>
  <c r="AH116" i="30" s="1"/>
  <c r="AI116" i="30" s="1"/>
  <c r="AJ116" i="30" s="1"/>
  <c r="AK116" i="30" s="1"/>
  <c r="AL116" i="30" s="1"/>
  <c r="AM116" i="30" s="1"/>
  <c r="AN116" i="30" s="1"/>
  <c r="AO116" i="30" s="1"/>
  <c r="AP116" i="30" s="1"/>
  <c r="AQ116" i="30" s="1"/>
  <c r="AR116" i="30" s="1"/>
  <c r="AS116" i="30" s="1"/>
  <c r="AT116" i="30" s="1"/>
  <c r="AU116" i="30" s="1"/>
  <c r="AV116" i="30" s="1"/>
  <c r="AW116" i="30" s="1"/>
  <c r="AX116" i="30" s="1"/>
  <c r="AY116" i="30" s="1"/>
  <c r="AZ116" i="30" s="1"/>
  <c r="BA116" i="30" s="1"/>
  <c r="BB116" i="30" s="1"/>
  <c r="BC116" i="30" s="1"/>
  <c r="BD116" i="30" s="1"/>
  <c r="BE116" i="30" s="1"/>
  <c r="BF116" i="30" s="1"/>
  <c r="BG116" i="30" s="1"/>
  <c r="BH116" i="30" s="1"/>
  <c r="K116" i="30"/>
  <c r="J112" i="30"/>
  <c r="BH111" i="30"/>
  <c r="BG111" i="30"/>
  <c r="BF111" i="30"/>
  <c r="BE111" i="30"/>
  <c r="BD111" i="30"/>
  <c r="BC111" i="30"/>
  <c r="BB111" i="30"/>
  <c r="BA111" i="30"/>
  <c r="AZ111" i="30"/>
  <c r="AY111" i="30"/>
  <c r="AX111" i="30"/>
  <c r="AW111" i="30"/>
  <c r="AV111" i="30"/>
  <c r="AU111" i="30"/>
  <c r="AT111" i="30"/>
  <c r="AS111" i="30"/>
  <c r="AR111" i="30"/>
  <c r="AQ111" i="30"/>
  <c r="AP111" i="30"/>
  <c r="AO111" i="30"/>
  <c r="AN111" i="30"/>
  <c r="AM111" i="30"/>
  <c r="AL111" i="30"/>
  <c r="AK111" i="30"/>
  <c r="AJ111" i="30"/>
  <c r="AI111" i="30"/>
  <c r="AH111" i="30"/>
  <c r="AG111" i="30"/>
  <c r="AF111" i="30"/>
  <c r="AE111" i="30"/>
  <c r="AD111" i="30"/>
  <c r="AC111" i="30"/>
  <c r="AB111" i="30"/>
  <c r="AA111" i="30"/>
  <c r="Z111" i="30"/>
  <c r="Y111" i="30"/>
  <c r="X111" i="30"/>
  <c r="W111" i="30"/>
  <c r="V111" i="30"/>
  <c r="U111" i="30"/>
  <c r="T111" i="30"/>
  <c r="S111" i="30"/>
  <c r="R111" i="30"/>
  <c r="Q111" i="30"/>
  <c r="P111" i="30"/>
  <c r="O111" i="30"/>
  <c r="N111" i="30"/>
  <c r="M111" i="30"/>
  <c r="L111" i="30"/>
  <c r="K111" i="30"/>
  <c r="BH110" i="30"/>
  <c r="BG110" i="30"/>
  <c r="BF110" i="30"/>
  <c r="BE110" i="30"/>
  <c r="BD110" i="30"/>
  <c r="BC110" i="30"/>
  <c r="BB110" i="30"/>
  <c r="BA110" i="30"/>
  <c r="AZ110" i="30"/>
  <c r="AY110" i="30"/>
  <c r="AX110" i="30"/>
  <c r="AW110" i="30"/>
  <c r="AV110" i="30"/>
  <c r="AU110" i="30"/>
  <c r="AT110" i="30"/>
  <c r="AS110" i="30"/>
  <c r="AR110" i="30"/>
  <c r="AQ110" i="30"/>
  <c r="AP110" i="30"/>
  <c r="AO110" i="30"/>
  <c r="AN110" i="30"/>
  <c r="AM110" i="30"/>
  <c r="AL110" i="30"/>
  <c r="AK110" i="30"/>
  <c r="AJ110" i="30"/>
  <c r="AI110" i="30"/>
  <c r="AH110" i="30"/>
  <c r="AG110" i="30"/>
  <c r="AF110" i="30"/>
  <c r="AE110" i="30"/>
  <c r="AD110" i="30"/>
  <c r="AC110" i="30"/>
  <c r="AB110" i="30"/>
  <c r="AA110" i="30"/>
  <c r="Z110" i="30"/>
  <c r="Y110" i="30"/>
  <c r="X110" i="30"/>
  <c r="W110" i="30"/>
  <c r="V110" i="30"/>
  <c r="U110" i="30"/>
  <c r="T110" i="30"/>
  <c r="S110" i="30"/>
  <c r="R110" i="30"/>
  <c r="Q110" i="30"/>
  <c r="P110" i="30"/>
  <c r="O110" i="30"/>
  <c r="N110" i="30"/>
  <c r="M110" i="30"/>
  <c r="L110" i="30"/>
  <c r="K110" i="30"/>
  <c r="BH109" i="30"/>
  <c r="BG109" i="30"/>
  <c r="BF109" i="30"/>
  <c r="BE109" i="30"/>
  <c r="BD109" i="30"/>
  <c r="BC109" i="30"/>
  <c r="BB109" i="30"/>
  <c r="BA109" i="30"/>
  <c r="AZ109" i="30"/>
  <c r="AY109" i="30"/>
  <c r="AX109" i="30"/>
  <c r="AW109" i="30"/>
  <c r="AV109" i="30"/>
  <c r="AU109" i="30"/>
  <c r="AT109" i="30"/>
  <c r="AS109" i="30"/>
  <c r="AR109" i="30"/>
  <c r="AQ109" i="30"/>
  <c r="AP109" i="30"/>
  <c r="AO109" i="30"/>
  <c r="AN109" i="30"/>
  <c r="AM109" i="30"/>
  <c r="AL109" i="30"/>
  <c r="AK109" i="30"/>
  <c r="AJ109" i="30"/>
  <c r="AI109" i="30"/>
  <c r="AH109" i="30"/>
  <c r="AG109" i="30"/>
  <c r="AF109" i="30"/>
  <c r="AE109" i="30"/>
  <c r="AD109" i="30"/>
  <c r="AC109" i="30"/>
  <c r="AB109" i="30"/>
  <c r="AA109" i="30"/>
  <c r="Z109" i="30"/>
  <c r="Y109" i="30"/>
  <c r="X109" i="30"/>
  <c r="W109" i="30"/>
  <c r="V109" i="30"/>
  <c r="U109" i="30"/>
  <c r="T109" i="30"/>
  <c r="S109" i="30"/>
  <c r="R109" i="30"/>
  <c r="Q109" i="30"/>
  <c r="P109" i="30"/>
  <c r="O109" i="30"/>
  <c r="N109" i="30"/>
  <c r="M109" i="30"/>
  <c r="L109" i="30"/>
  <c r="K109" i="30"/>
  <c r="BH108" i="30"/>
  <c r="BG108" i="30"/>
  <c r="BF108" i="30"/>
  <c r="BE108" i="30"/>
  <c r="BD108" i="30"/>
  <c r="BC108" i="30"/>
  <c r="BB108" i="30"/>
  <c r="BA108" i="30"/>
  <c r="AZ108" i="30"/>
  <c r="AY108" i="30"/>
  <c r="AX108" i="30"/>
  <c r="AW108" i="30"/>
  <c r="AV108" i="30"/>
  <c r="AU108" i="30"/>
  <c r="AT108" i="30"/>
  <c r="AS108" i="30"/>
  <c r="AR108" i="30"/>
  <c r="AQ108" i="30"/>
  <c r="AP108" i="30"/>
  <c r="AO108" i="30"/>
  <c r="AN108" i="30"/>
  <c r="AM108" i="30"/>
  <c r="AL108" i="30"/>
  <c r="AK108" i="30"/>
  <c r="AJ108" i="30"/>
  <c r="AI108" i="30"/>
  <c r="AH108" i="30"/>
  <c r="AG108" i="30"/>
  <c r="AF108" i="30"/>
  <c r="AE108" i="30"/>
  <c r="AD108" i="30"/>
  <c r="AC108" i="30"/>
  <c r="AB108" i="30"/>
  <c r="AA108" i="30"/>
  <c r="Z108" i="30"/>
  <c r="Y108" i="30"/>
  <c r="X108" i="30"/>
  <c r="W108" i="30"/>
  <c r="V108" i="30"/>
  <c r="U108" i="30"/>
  <c r="T108" i="30"/>
  <c r="S108" i="30"/>
  <c r="R108" i="30"/>
  <c r="Q108" i="30"/>
  <c r="P108" i="30"/>
  <c r="O108" i="30"/>
  <c r="N108" i="30"/>
  <c r="M108" i="30"/>
  <c r="L108" i="30"/>
  <c r="K108" i="30"/>
  <c r="BH107" i="30"/>
  <c r="BG107" i="30"/>
  <c r="BF107" i="30"/>
  <c r="BE107" i="30"/>
  <c r="BD107" i="30"/>
  <c r="BC107" i="30"/>
  <c r="BB107" i="30"/>
  <c r="BA107" i="30"/>
  <c r="AZ107" i="30"/>
  <c r="AY107" i="30"/>
  <c r="AX107" i="30"/>
  <c r="AW107" i="30"/>
  <c r="AV107" i="30"/>
  <c r="AU107" i="30"/>
  <c r="AT107" i="30"/>
  <c r="AS107" i="30"/>
  <c r="AR107" i="30"/>
  <c r="AQ107" i="30"/>
  <c r="AP107" i="30"/>
  <c r="AO107" i="30"/>
  <c r="AN107" i="30"/>
  <c r="AM107" i="30"/>
  <c r="AL107" i="30"/>
  <c r="AK107" i="30"/>
  <c r="AJ107" i="30"/>
  <c r="AI107" i="30"/>
  <c r="AH107" i="30"/>
  <c r="AG107" i="30"/>
  <c r="AF107" i="30"/>
  <c r="AE107" i="30"/>
  <c r="AD107" i="30"/>
  <c r="AC107" i="30"/>
  <c r="AB107" i="30"/>
  <c r="AA107" i="30"/>
  <c r="Z107" i="30"/>
  <c r="Y107" i="30"/>
  <c r="X107" i="30"/>
  <c r="W107" i="30"/>
  <c r="V107" i="30"/>
  <c r="U107" i="30"/>
  <c r="T107" i="30"/>
  <c r="S107" i="30"/>
  <c r="R107" i="30"/>
  <c r="Q107" i="30"/>
  <c r="P107" i="30"/>
  <c r="O107" i="30"/>
  <c r="N107" i="30"/>
  <c r="M107" i="30"/>
  <c r="L107" i="30"/>
  <c r="K107" i="30"/>
  <c r="BH106" i="30"/>
  <c r="BG106" i="30"/>
  <c r="BF106" i="30"/>
  <c r="BE106" i="30"/>
  <c r="BD106" i="30"/>
  <c r="BC106" i="30"/>
  <c r="BB106" i="30"/>
  <c r="BA106" i="30"/>
  <c r="AZ106" i="30"/>
  <c r="AY106" i="30"/>
  <c r="AX106" i="30"/>
  <c r="AW106" i="30"/>
  <c r="AV106" i="30"/>
  <c r="AU106" i="30"/>
  <c r="AT106" i="30"/>
  <c r="AS106" i="30"/>
  <c r="AR106" i="30"/>
  <c r="AQ106" i="30"/>
  <c r="AP106" i="30"/>
  <c r="AO106" i="30"/>
  <c r="AN106" i="30"/>
  <c r="AM106" i="30"/>
  <c r="AL106" i="30"/>
  <c r="AK106" i="30"/>
  <c r="AJ106" i="30"/>
  <c r="AI106" i="30"/>
  <c r="AH106" i="30"/>
  <c r="AG106" i="30"/>
  <c r="AF106" i="30"/>
  <c r="AE106" i="30"/>
  <c r="AD106" i="30"/>
  <c r="AC106" i="30"/>
  <c r="AB106" i="30"/>
  <c r="AA106" i="30"/>
  <c r="Z106" i="30"/>
  <c r="Y106" i="30"/>
  <c r="X106" i="30"/>
  <c r="W106" i="30"/>
  <c r="V106" i="30"/>
  <c r="U106" i="30"/>
  <c r="T106" i="30"/>
  <c r="S106" i="30"/>
  <c r="R106" i="30"/>
  <c r="Q106" i="30"/>
  <c r="P106" i="30"/>
  <c r="O106" i="30"/>
  <c r="N106" i="30"/>
  <c r="M106" i="30"/>
  <c r="L106" i="30"/>
  <c r="K106" i="30"/>
  <c r="BH105" i="30"/>
  <c r="BG105" i="30"/>
  <c r="BF105" i="30"/>
  <c r="BE105" i="30"/>
  <c r="BD105" i="30"/>
  <c r="BC105" i="30"/>
  <c r="BB105" i="30"/>
  <c r="BA105" i="30"/>
  <c r="AZ105" i="30"/>
  <c r="AY105" i="30"/>
  <c r="AX105" i="30"/>
  <c r="AW105" i="30"/>
  <c r="AV105" i="30"/>
  <c r="AU105" i="30"/>
  <c r="AT105" i="30"/>
  <c r="AS105" i="30"/>
  <c r="AR105" i="30"/>
  <c r="AQ105" i="30"/>
  <c r="AP105" i="30"/>
  <c r="AO105" i="30"/>
  <c r="AN105" i="30"/>
  <c r="AM105" i="30"/>
  <c r="AL105" i="30"/>
  <c r="AK105" i="30"/>
  <c r="AJ105" i="30"/>
  <c r="AI105" i="30"/>
  <c r="AH105" i="30"/>
  <c r="AG105" i="30"/>
  <c r="AF105" i="30"/>
  <c r="AE105" i="30"/>
  <c r="AD105" i="30"/>
  <c r="AC105" i="30"/>
  <c r="AB105" i="30"/>
  <c r="AA105" i="30"/>
  <c r="Z105" i="30"/>
  <c r="Y105" i="30"/>
  <c r="X105" i="30"/>
  <c r="W105" i="30"/>
  <c r="V105" i="30"/>
  <c r="U105" i="30"/>
  <c r="T105" i="30"/>
  <c r="S105" i="30"/>
  <c r="R105" i="30"/>
  <c r="Q105" i="30"/>
  <c r="P105" i="30"/>
  <c r="O105" i="30"/>
  <c r="N105" i="30"/>
  <c r="M105" i="30"/>
  <c r="L105" i="30"/>
  <c r="K105" i="30"/>
  <c r="BH104" i="30"/>
  <c r="BG104" i="30"/>
  <c r="BF104" i="30"/>
  <c r="BE104" i="30"/>
  <c r="BD104" i="30"/>
  <c r="BC104" i="30"/>
  <c r="BB104" i="30"/>
  <c r="BA104" i="30"/>
  <c r="AZ104" i="30"/>
  <c r="AY104" i="30"/>
  <c r="AX104" i="30"/>
  <c r="AW104" i="30"/>
  <c r="AV104" i="30"/>
  <c r="AU104" i="30"/>
  <c r="AT104" i="30"/>
  <c r="AS104" i="30"/>
  <c r="AR104" i="30"/>
  <c r="AQ104" i="30"/>
  <c r="AP104" i="30"/>
  <c r="AO104" i="30"/>
  <c r="AN104" i="30"/>
  <c r="AM104" i="30"/>
  <c r="AL104" i="30"/>
  <c r="AK104" i="30"/>
  <c r="AJ104" i="30"/>
  <c r="AI104" i="30"/>
  <c r="AH104" i="30"/>
  <c r="AG104" i="30"/>
  <c r="AF104" i="30"/>
  <c r="AE104" i="30"/>
  <c r="AD104" i="30"/>
  <c r="AC104" i="30"/>
  <c r="AB104" i="30"/>
  <c r="AA104" i="30"/>
  <c r="Z104" i="30"/>
  <c r="Y104" i="30"/>
  <c r="X104" i="30"/>
  <c r="W104" i="30"/>
  <c r="V104" i="30"/>
  <c r="U104" i="30"/>
  <c r="T104" i="30"/>
  <c r="S104" i="30"/>
  <c r="R104" i="30"/>
  <c r="Q104" i="30"/>
  <c r="P104" i="30"/>
  <c r="O104" i="30"/>
  <c r="N104" i="30"/>
  <c r="M104" i="30"/>
  <c r="L104" i="30"/>
  <c r="K104" i="30"/>
  <c r="BH103" i="30"/>
  <c r="BG103" i="30"/>
  <c r="BF103" i="30"/>
  <c r="BE103" i="30"/>
  <c r="BD103" i="30"/>
  <c r="BC103" i="30"/>
  <c r="BB103" i="30"/>
  <c r="BA103" i="30"/>
  <c r="AZ103" i="30"/>
  <c r="AY103" i="30"/>
  <c r="AX103" i="30"/>
  <c r="AW103" i="30"/>
  <c r="AV103" i="30"/>
  <c r="AU103" i="30"/>
  <c r="AT103" i="30"/>
  <c r="AS103" i="30"/>
  <c r="AR103" i="30"/>
  <c r="AQ103" i="30"/>
  <c r="AP103" i="30"/>
  <c r="AO103" i="30"/>
  <c r="AN103" i="30"/>
  <c r="AM103" i="30"/>
  <c r="AL103" i="30"/>
  <c r="AK103" i="30"/>
  <c r="AJ103" i="30"/>
  <c r="AI103" i="30"/>
  <c r="AH103" i="30"/>
  <c r="AG103" i="30"/>
  <c r="AF103" i="30"/>
  <c r="AE103" i="30"/>
  <c r="AD103" i="30"/>
  <c r="AC103" i="30"/>
  <c r="AB103" i="30"/>
  <c r="AA103" i="30"/>
  <c r="Z103" i="30"/>
  <c r="Y103" i="30"/>
  <c r="X103" i="30"/>
  <c r="W103" i="30"/>
  <c r="V103" i="30"/>
  <c r="U103" i="30"/>
  <c r="T103" i="30"/>
  <c r="S103" i="30"/>
  <c r="R103" i="30"/>
  <c r="Q103" i="30"/>
  <c r="P103" i="30"/>
  <c r="O103" i="30"/>
  <c r="N103" i="30"/>
  <c r="M103" i="30"/>
  <c r="L103" i="30"/>
  <c r="K103" i="30"/>
  <c r="BH102" i="30"/>
  <c r="BG102" i="30"/>
  <c r="BF102" i="30"/>
  <c r="BE102" i="30"/>
  <c r="BD102" i="30"/>
  <c r="BC102" i="30"/>
  <c r="BB102" i="30"/>
  <c r="BA102" i="30"/>
  <c r="AZ102" i="30"/>
  <c r="AY102" i="30"/>
  <c r="AX102" i="30"/>
  <c r="AW102" i="30"/>
  <c r="AV102" i="30"/>
  <c r="AU102" i="30"/>
  <c r="AT102" i="30"/>
  <c r="AS102" i="30"/>
  <c r="AR102" i="30"/>
  <c r="AQ102" i="30"/>
  <c r="AP102" i="30"/>
  <c r="AO102" i="30"/>
  <c r="AN102" i="30"/>
  <c r="AM102" i="30"/>
  <c r="AL102" i="30"/>
  <c r="AK102" i="30"/>
  <c r="AJ102" i="30"/>
  <c r="AI102" i="30"/>
  <c r="AH102" i="30"/>
  <c r="AG102" i="30"/>
  <c r="AF102" i="30"/>
  <c r="AE102" i="30"/>
  <c r="AD102" i="30"/>
  <c r="AC102" i="30"/>
  <c r="AB102" i="30"/>
  <c r="AA102" i="30"/>
  <c r="Z102" i="30"/>
  <c r="Y102" i="30"/>
  <c r="X102" i="30"/>
  <c r="W102" i="30"/>
  <c r="V102" i="30"/>
  <c r="U102" i="30"/>
  <c r="T102" i="30"/>
  <c r="S102" i="30"/>
  <c r="R102" i="30"/>
  <c r="Q102" i="30"/>
  <c r="P102" i="30"/>
  <c r="O102" i="30"/>
  <c r="N102" i="30"/>
  <c r="M102" i="30"/>
  <c r="L102" i="30"/>
  <c r="K102" i="30"/>
  <c r="BH101" i="30"/>
  <c r="BG101" i="30"/>
  <c r="BF101" i="30"/>
  <c r="BE101" i="30"/>
  <c r="BD101" i="30"/>
  <c r="BC101" i="30"/>
  <c r="BB101" i="30"/>
  <c r="BA101" i="30"/>
  <c r="AZ101" i="30"/>
  <c r="AY101" i="30"/>
  <c r="AX101" i="30"/>
  <c r="AW101" i="30"/>
  <c r="AV101" i="30"/>
  <c r="AU101" i="30"/>
  <c r="AT101" i="30"/>
  <c r="AS101" i="30"/>
  <c r="AR101" i="30"/>
  <c r="AQ101" i="30"/>
  <c r="AP101" i="30"/>
  <c r="AO101" i="30"/>
  <c r="AN101" i="30"/>
  <c r="AM101" i="30"/>
  <c r="AL101" i="30"/>
  <c r="AK101" i="30"/>
  <c r="AJ101" i="30"/>
  <c r="AI101" i="30"/>
  <c r="AH101" i="30"/>
  <c r="AG101" i="30"/>
  <c r="AF101" i="30"/>
  <c r="AE101" i="30"/>
  <c r="AD101" i="30"/>
  <c r="AC101" i="30"/>
  <c r="AB101" i="30"/>
  <c r="AA101" i="30"/>
  <c r="Z101" i="30"/>
  <c r="Y101" i="30"/>
  <c r="X101" i="30"/>
  <c r="W101" i="30"/>
  <c r="V101" i="30"/>
  <c r="U101" i="30"/>
  <c r="T101" i="30"/>
  <c r="S101" i="30"/>
  <c r="R101" i="30"/>
  <c r="Q101" i="30"/>
  <c r="P101" i="30"/>
  <c r="O101" i="30"/>
  <c r="N101" i="30"/>
  <c r="M101" i="30"/>
  <c r="L101" i="30"/>
  <c r="K101" i="30"/>
  <c r="BH100" i="30"/>
  <c r="BG100" i="30"/>
  <c r="BF100" i="30"/>
  <c r="BE100" i="30"/>
  <c r="BD100" i="30"/>
  <c r="BC100" i="30"/>
  <c r="BB100" i="30"/>
  <c r="BA100" i="30"/>
  <c r="AZ100" i="30"/>
  <c r="AY100" i="30"/>
  <c r="AX100" i="30"/>
  <c r="AW100" i="30"/>
  <c r="AV100" i="30"/>
  <c r="AU100" i="30"/>
  <c r="AT100" i="30"/>
  <c r="AS100" i="30"/>
  <c r="AR100" i="30"/>
  <c r="AQ100" i="30"/>
  <c r="AP100" i="30"/>
  <c r="AO100" i="30"/>
  <c r="AN100" i="30"/>
  <c r="AM100" i="30"/>
  <c r="AL100" i="30"/>
  <c r="AK100" i="30"/>
  <c r="AJ100" i="30"/>
  <c r="AI100" i="30"/>
  <c r="AH100" i="30"/>
  <c r="AG100" i="30"/>
  <c r="AF100" i="30"/>
  <c r="AE100" i="30"/>
  <c r="AD100" i="30"/>
  <c r="AC100" i="30"/>
  <c r="AB100" i="30"/>
  <c r="AA100" i="30"/>
  <c r="Z100" i="30"/>
  <c r="Y100" i="30"/>
  <c r="X100" i="30"/>
  <c r="W100" i="30"/>
  <c r="V100" i="30"/>
  <c r="U100" i="30"/>
  <c r="T100" i="30"/>
  <c r="S100" i="30"/>
  <c r="R100" i="30"/>
  <c r="Q100" i="30"/>
  <c r="P100" i="30"/>
  <c r="O100" i="30"/>
  <c r="N100" i="30"/>
  <c r="M100" i="30"/>
  <c r="L100" i="30"/>
  <c r="K100" i="30"/>
  <c r="BH99" i="30"/>
  <c r="BG99" i="30"/>
  <c r="BF99" i="30"/>
  <c r="BE99" i="30"/>
  <c r="BD99" i="30"/>
  <c r="BC99" i="30"/>
  <c r="BB99" i="30"/>
  <c r="BA99" i="30"/>
  <c r="AZ99" i="30"/>
  <c r="AY99" i="30"/>
  <c r="AX99" i="30"/>
  <c r="AW99" i="30"/>
  <c r="AV99" i="30"/>
  <c r="AU99" i="30"/>
  <c r="AT99" i="30"/>
  <c r="AS99" i="30"/>
  <c r="AR99" i="30"/>
  <c r="AQ99" i="30"/>
  <c r="AP99" i="30"/>
  <c r="AO99" i="30"/>
  <c r="AN99" i="30"/>
  <c r="AM99" i="30"/>
  <c r="AL99" i="30"/>
  <c r="AK99" i="30"/>
  <c r="AJ99" i="30"/>
  <c r="AI99" i="30"/>
  <c r="AH99" i="30"/>
  <c r="AG99" i="30"/>
  <c r="AF99" i="30"/>
  <c r="AE99" i="30"/>
  <c r="AD99" i="30"/>
  <c r="AC99" i="30"/>
  <c r="AB99" i="30"/>
  <c r="AA99" i="30"/>
  <c r="Z99" i="30"/>
  <c r="Y99" i="30"/>
  <c r="X99" i="30"/>
  <c r="W99" i="30"/>
  <c r="V99" i="30"/>
  <c r="U99" i="30"/>
  <c r="T99" i="30"/>
  <c r="S99" i="30"/>
  <c r="R99" i="30"/>
  <c r="Q99" i="30"/>
  <c r="P99" i="30"/>
  <c r="O99" i="30"/>
  <c r="N99" i="30"/>
  <c r="M99" i="30"/>
  <c r="L99" i="30"/>
  <c r="K99" i="30"/>
  <c r="BH98" i="30"/>
  <c r="BG98" i="30"/>
  <c r="BF98" i="30"/>
  <c r="BE98" i="30"/>
  <c r="BD98" i="30"/>
  <c r="BC98" i="30"/>
  <c r="BB98" i="30"/>
  <c r="BA98" i="30"/>
  <c r="AZ98" i="30"/>
  <c r="AY98" i="30"/>
  <c r="AX98" i="30"/>
  <c r="AW98" i="30"/>
  <c r="AV98" i="30"/>
  <c r="AU98" i="30"/>
  <c r="AT98" i="30"/>
  <c r="AS98" i="30"/>
  <c r="AR98" i="30"/>
  <c r="AQ98" i="30"/>
  <c r="AP98" i="30"/>
  <c r="AO98" i="30"/>
  <c r="AN98" i="30"/>
  <c r="AM98" i="30"/>
  <c r="AL98" i="30"/>
  <c r="AK98" i="30"/>
  <c r="AJ98" i="30"/>
  <c r="AI98" i="30"/>
  <c r="AH98" i="30"/>
  <c r="AG98" i="30"/>
  <c r="AF98" i="30"/>
  <c r="AE98" i="30"/>
  <c r="AD98" i="30"/>
  <c r="AC98" i="30"/>
  <c r="AB98" i="30"/>
  <c r="AA98" i="30"/>
  <c r="Z98" i="30"/>
  <c r="Y98" i="30"/>
  <c r="X98" i="30"/>
  <c r="W98" i="30"/>
  <c r="V98" i="30"/>
  <c r="U98" i="30"/>
  <c r="T98" i="30"/>
  <c r="S98" i="30"/>
  <c r="R98" i="30"/>
  <c r="Q98" i="30"/>
  <c r="P98" i="30"/>
  <c r="O98" i="30"/>
  <c r="N98" i="30"/>
  <c r="M98" i="30"/>
  <c r="L98" i="30"/>
  <c r="K98" i="30"/>
  <c r="BH97" i="30"/>
  <c r="BG97" i="30"/>
  <c r="BF97" i="30"/>
  <c r="BE97" i="30"/>
  <c r="BD97" i="30"/>
  <c r="BC97" i="30"/>
  <c r="BB97" i="30"/>
  <c r="BA97" i="30"/>
  <c r="AZ97" i="30"/>
  <c r="AY97" i="30"/>
  <c r="AX97" i="30"/>
  <c r="AW97" i="30"/>
  <c r="AV97" i="30"/>
  <c r="AU97" i="30"/>
  <c r="AT97" i="30"/>
  <c r="AS97" i="30"/>
  <c r="AR97" i="30"/>
  <c r="AQ97" i="30"/>
  <c r="AP97" i="30"/>
  <c r="AO97" i="30"/>
  <c r="AN97" i="30"/>
  <c r="AM97" i="30"/>
  <c r="AL97" i="30"/>
  <c r="AK97" i="30"/>
  <c r="AJ97" i="30"/>
  <c r="AI97" i="30"/>
  <c r="AH97" i="30"/>
  <c r="AG97" i="30"/>
  <c r="AF97" i="30"/>
  <c r="AE97" i="30"/>
  <c r="AD97" i="30"/>
  <c r="AC97" i="30"/>
  <c r="AB97" i="30"/>
  <c r="AA97" i="30"/>
  <c r="Z97" i="30"/>
  <c r="Y97" i="30"/>
  <c r="X97" i="30"/>
  <c r="W97" i="30"/>
  <c r="V97" i="30"/>
  <c r="U97" i="30"/>
  <c r="T97" i="30"/>
  <c r="S97" i="30"/>
  <c r="R97" i="30"/>
  <c r="Q97" i="30"/>
  <c r="P97" i="30"/>
  <c r="O97" i="30"/>
  <c r="N97" i="30"/>
  <c r="M97" i="30"/>
  <c r="L97" i="30"/>
  <c r="K97" i="30"/>
  <c r="BH96" i="30"/>
  <c r="BG96" i="30"/>
  <c r="BF96" i="30"/>
  <c r="BE96" i="30"/>
  <c r="BD96" i="30"/>
  <c r="BC96" i="30"/>
  <c r="BB96" i="30"/>
  <c r="BA96" i="30"/>
  <c r="AZ96" i="30"/>
  <c r="AY96" i="30"/>
  <c r="AX96" i="30"/>
  <c r="AW96" i="30"/>
  <c r="AV96" i="30"/>
  <c r="AU96" i="30"/>
  <c r="AT96" i="30"/>
  <c r="AS96" i="30"/>
  <c r="AR96" i="30"/>
  <c r="AQ96" i="30"/>
  <c r="AP96" i="30"/>
  <c r="AO96" i="30"/>
  <c r="AN96" i="30"/>
  <c r="AM96" i="30"/>
  <c r="AL96" i="30"/>
  <c r="AK96" i="30"/>
  <c r="AJ96" i="30"/>
  <c r="AI96" i="30"/>
  <c r="AH96" i="30"/>
  <c r="AG96" i="30"/>
  <c r="AF96" i="30"/>
  <c r="AE96" i="30"/>
  <c r="AD96" i="30"/>
  <c r="AC96" i="30"/>
  <c r="AB96" i="30"/>
  <c r="AA96" i="30"/>
  <c r="Z96" i="30"/>
  <c r="Y96" i="30"/>
  <c r="X96" i="30"/>
  <c r="W96" i="30"/>
  <c r="V96" i="30"/>
  <c r="U96" i="30"/>
  <c r="T96" i="30"/>
  <c r="S96" i="30"/>
  <c r="R96" i="30"/>
  <c r="Q96" i="30"/>
  <c r="P96" i="30"/>
  <c r="O96" i="30"/>
  <c r="N96" i="30"/>
  <c r="M96" i="30"/>
  <c r="L96" i="30"/>
  <c r="K96" i="30"/>
  <c r="BH95" i="30"/>
  <c r="BG95" i="30"/>
  <c r="BF95" i="30"/>
  <c r="BE95" i="30"/>
  <c r="BD95" i="30"/>
  <c r="BC95" i="30"/>
  <c r="BB95" i="30"/>
  <c r="BA95" i="30"/>
  <c r="AZ95" i="30"/>
  <c r="AY95" i="30"/>
  <c r="AX95" i="30"/>
  <c r="AW95" i="30"/>
  <c r="AV95" i="30"/>
  <c r="AU95" i="30"/>
  <c r="AT95" i="30"/>
  <c r="AS95" i="30"/>
  <c r="AR95" i="30"/>
  <c r="AQ95" i="30"/>
  <c r="AP95" i="30"/>
  <c r="AO95" i="30"/>
  <c r="AN95" i="30"/>
  <c r="AM95" i="30"/>
  <c r="AL95" i="30"/>
  <c r="AK95" i="30"/>
  <c r="AJ95" i="30"/>
  <c r="AI95" i="30"/>
  <c r="AH95" i="30"/>
  <c r="AG95" i="30"/>
  <c r="AF95" i="30"/>
  <c r="AE95" i="30"/>
  <c r="AD95" i="30"/>
  <c r="AC95" i="30"/>
  <c r="AB95" i="30"/>
  <c r="AA95" i="30"/>
  <c r="Z95" i="30"/>
  <c r="Y95" i="30"/>
  <c r="X95" i="30"/>
  <c r="W95" i="30"/>
  <c r="V95" i="30"/>
  <c r="U95" i="30"/>
  <c r="T95" i="30"/>
  <c r="S95" i="30"/>
  <c r="R95" i="30"/>
  <c r="Q95" i="30"/>
  <c r="P95" i="30"/>
  <c r="O95" i="30"/>
  <c r="N95" i="30"/>
  <c r="M95" i="30"/>
  <c r="L95" i="30"/>
  <c r="K95" i="30"/>
  <c r="BH94" i="30"/>
  <c r="BG94" i="30"/>
  <c r="BF94" i="30"/>
  <c r="BE94" i="30"/>
  <c r="BD94" i="30"/>
  <c r="BC94" i="30"/>
  <c r="BB94" i="30"/>
  <c r="BA94" i="30"/>
  <c r="AZ94" i="30"/>
  <c r="AY94" i="30"/>
  <c r="AX94" i="30"/>
  <c r="AW94" i="30"/>
  <c r="AV94" i="30"/>
  <c r="AU94" i="30"/>
  <c r="AT94" i="30"/>
  <c r="AS94" i="30"/>
  <c r="AR94" i="30"/>
  <c r="AQ94" i="30"/>
  <c r="AP94" i="30"/>
  <c r="AO94" i="30"/>
  <c r="AN94" i="30"/>
  <c r="AM94" i="30"/>
  <c r="AL94" i="30"/>
  <c r="AK94" i="30"/>
  <c r="AJ94" i="30"/>
  <c r="AI94" i="30"/>
  <c r="AH94" i="30"/>
  <c r="AG94" i="30"/>
  <c r="AF94" i="30"/>
  <c r="AE94" i="30"/>
  <c r="AD94" i="30"/>
  <c r="AC94" i="30"/>
  <c r="AB94" i="30"/>
  <c r="AA94" i="30"/>
  <c r="Z94" i="30"/>
  <c r="Y94" i="30"/>
  <c r="X94" i="30"/>
  <c r="W94" i="30"/>
  <c r="V94" i="30"/>
  <c r="U94" i="30"/>
  <c r="T94" i="30"/>
  <c r="S94" i="30"/>
  <c r="R94" i="30"/>
  <c r="Q94" i="30"/>
  <c r="P94" i="30"/>
  <c r="O94" i="30"/>
  <c r="N94" i="30"/>
  <c r="M94" i="30"/>
  <c r="L94" i="30"/>
  <c r="K94" i="30"/>
  <c r="BH93" i="30"/>
  <c r="BG93" i="30"/>
  <c r="BF93" i="30"/>
  <c r="BE93" i="30"/>
  <c r="BD93" i="30"/>
  <c r="BC93" i="30"/>
  <c r="BB93" i="30"/>
  <c r="BA93" i="30"/>
  <c r="AZ93" i="30"/>
  <c r="AY93" i="30"/>
  <c r="AX93" i="30"/>
  <c r="AW93" i="30"/>
  <c r="AV93" i="30"/>
  <c r="AU93" i="30"/>
  <c r="AT93" i="30"/>
  <c r="AS93" i="30"/>
  <c r="AR93" i="30"/>
  <c r="AQ93" i="30"/>
  <c r="AP93" i="30"/>
  <c r="AO93" i="30"/>
  <c r="AN93" i="30"/>
  <c r="AM93" i="30"/>
  <c r="AL93" i="30"/>
  <c r="AK93" i="30"/>
  <c r="AJ93" i="30"/>
  <c r="AI93" i="30"/>
  <c r="AH93" i="30"/>
  <c r="AG93" i="30"/>
  <c r="AF93" i="30"/>
  <c r="AE93" i="30"/>
  <c r="AD93" i="30"/>
  <c r="AC93" i="30"/>
  <c r="AB93" i="30"/>
  <c r="AA93" i="30"/>
  <c r="Z93" i="30"/>
  <c r="Y93" i="30"/>
  <c r="X93" i="30"/>
  <c r="W93" i="30"/>
  <c r="V93" i="30"/>
  <c r="U93" i="30"/>
  <c r="T93" i="30"/>
  <c r="S93" i="30"/>
  <c r="R93" i="30"/>
  <c r="Q93" i="30"/>
  <c r="P93" i="30"/>
  <c r="O93" i="30"/>
  <c r="N93" i="30"/>
  <c r="M93" i="30"/>
  <c r="L93" i="30"/>
  <c r="K93" i="30"/>
  <c r="BH92" i="30"/>
  <c r="BG92" i="30"/>
  <c r="BF92" i="30"/>
  <c r="BE92" i="30"/>
  <c r="BD92" i="30"/>
  <c r="BC92" i="30"/>
  <c r="BB92" i="30"/>
  <c r="BA92" i="30"/>
  <c r="AZ92" i="30"/>
  <c r="AY92" i="30"/>
  <c r="AX92" i="30"/>
  <c r="AW92" i="30"/>
  <c r="AV92" i="30"/>
  <c r="AU92" i="30"/>
  <c r="AT92" i="30"/>
  <c r="AS92" i="30"/>
  <c r="AR92" i="30"/>
  <c r="AQ92" i="30"/>
  <c r="AP92" i="30"/>
  <c r="AO92" i="30"/>
  <c r="AN92" i="30"/>
  <c r="AM92" i="30"/>
  <c r="AL92" i="30"/>
  <c r="AK92" i="30"/>
  <c r="AJ92" i="30"/>
  <c r="AI92" i="30"/>
  <c r="AH92" i="30"/>
  <c r="AG92" i="30"/>
  <c r="AF92" i="30"/>
  <c r="AE92" i="30"/>
  <c r="AD92" i="30"/>
  <c r="AC92" i="30"/>
  <c r="AB92" i="30"/>
  <c r="AA92" i="30"/>
  <c r="Z92" i="30"/>
  <c r="Y92" i="30"/>
  <c r="X92" i="30"/>
  <c r="W92" i="30"/>
  <c r="V92" i="30"/>
  <c r="U92" i="30"/>
  <c r="T92" i="30"/>
  <c r="S92" i="30"/>
  <c r="R92" i="30"/>
  <c r="Q92" i="30"/>
  <c r="P92" i="30"/>
  <c r="O92" i="30"/>
  <c r="N92" i="30"/>
  <c r="M92" i="30"/>
  <c r="L92" i="30"/>
  <c r="K92" i="30"/>
  <c r="BH91" i="30"/>
  <c r="BG91" i="30"/>
  <c r="BF91" i="30"/>
  <c r="BE91" i="30"/>
  <c r="BD91" i="30"/>
  <c r="BC91" i="30"/>
  <c r="BB91" i="30"/>
  <c r="BA91" i="30"/>
  <c r="AZ91" i="30"/>
  <c r="AY91" i="30"/>
  <c r="AX91" i="30"/>
  <c r="AW91" i="30"/>
  <c r="AV91" i="30"/>
  <c r="AU91" i="30"/>
  <c r="AT91" i="30"/>
  <c r="AS91" i="30"/>
  <c r="AR91" i="30"/>
  <c r="AQ91" i="30"/>
  <c r="AP91" i="30"/>
  <c r="AO91" i="30"/>
  <c r="AN91" i="30"/>
  <c r="AM91" i="30"/>
  <c r="AL91" i="30"/>
  <c r="AK91" i="30"/>
  <c r="AJ91" i="30"/>
  <c r="AI91" i="30"/>
  <c r="AH91" i="30"/>
  <c r="AG91" i="30"/>
  <c r="AF91" i="30"/>
  <c r="AE91" i="30"/>
  <c r="AD91" i="30"/>
  <c r="AC91" i="30"/>
  <c r="AB91" i="30"/>
  <c r="AA91" i="30"/>
  <c r="Z91" i="30"/>
  <c r="Y91" i="30"/>
  <c r="X91" i="30"/>
  <c r="W91" i="30"/>
  <c r="V91" i="30"/>
  <c r="U91" i="30"/>
  <c r="T91" i="30"/>
  <c r="S91" i="30"/>
  <c r="R91" i="30"/>
  <c r="Q91" i="30"/>
  <c r="P91" i="30"/>
  <c r="O91" i="30"/>
  <c r="N91" i="30"/>
  <c r="M91" i="30"/>
  <c r="L91" i="30"/>
  <c r="K91" i="30"/>
  <c r="BH90" i="30"/>
  <c r="BG90" i="30"/>
  <c r="BF90" i="30"/>
  <c r="BE90" i="30"/>
  <c r="BD90" i="30"/>
  <c r="BC90" i="30"/>
  <c r="BB90" i="30"/>
  <c r="BA90" i="30"/>
  <c r="AZ90" i="30"/>
  <c r="AY90" i="30"/>
  <c r="AX90" i="30"/>
  <c r="AW90" i="30"/>
  <c r="AV90" i="30"/>
  <c r="AU90" i="30"/>
  <c r="AT90" i="30"/>
  <c r="AS90" i="30"/>
  <c r="AR90" i="30"/>
  <c r="AQ90" i="30"/>
  <c r="AP90" i="30"/>
  <c r="AO90" i="30"/>
  <c r="AN90" i="30"/>
  <c r="AM90" i="30"/>
  <c r="AL90" i="30"/>
  <c r="AK90" i="30"/>
  <c r="AJ90" i="30"/>
  <c r="AI90" i="30"/>
  <c r="AH90" i="30"/>
  <c r="AG90" i="30"/>
  <c r="AF90" i="30"/>
  <c r="AE90" i="30"/>
  <c r="AD90" i="30"/>
  <c r="AC90" i="30"/>
  <c r="AB90" i="30"/>
  <c r="AA90" i="30"/>
  <c r="Z90" i="30"/>
  <c r="Y90" i="30"/>
  <c r="X90" i="30"/>
  <c r="W90" i="30"/>
  <c r="V90" i="30"/>
  <c r="U90" i="30"/>
  <c r="T90" i="30"/>
  <c r="S90" i="30"/>
  <c r="R90" i="30"/>
  <c r="Q90" i="30"/>
  <c r="P90" i="30"/>
  <c r="O90" i="30"/>
  <c r="N90" i="30"/>
  <c r="M90" i="30"/>
  <c r="L90" i="30"/>
  <c r="K90" i="30"/>
  <c r="BH89" i="30"/>
  <c r="BG89" i="30"/>
  <c r="BF89" i="30"/>
  <c r="BE89" i="30"/>
  <c r="BD89" i="30"/>
  <c r="BC89" i="30"/>
  <c r="BB89" i="30"/>
  <c r="BA89" i="30"/>
  <c r="AZ89" i="30"/>
  <c r="AY89" i="30"/>
  <c r="AX89" i="30"/>
  <c r="AW89" i="30"/>
  <c r="AV89" i="30"/>
  <c r="AU89" i="30"/>
  <c r="AT89" i="30"/>
  <c r="AS89" i="30"/>
  <c r="AR89" i="30"/>
  <c r="AQ89" i="30"/>
  <c r="AP89" i="30"/>
  <c r="AO89" i="30"/>
  <c r="AN89" i="30"/>
  <c r="AM89" i="30"/>
  <c r="AL89" i="30"/>
  <c r="AK89" i="30"/>
  <c r="AJ89" i="30"/>
  <c r="AI89" i="30"/>
  <c r="AH89" i="30"/>
  <c r="AG89" i="30"/>
  <c r="AF89" i="30"/>
  <c r="AE89" i="30"/>
  <c r="AD89" i="30"/>
  <c r="AC89" i="30"/>
  <c r="AB89" i="30"/>
  <c r="AA89" i="30"/>
  <c r="Z89" i="30"/>
  <c r="Y89" i="30"/>
  <c r="X89" i="30"/>
  <c r="W89" i="30"/>
  <c r="V89" i="30"/>
  <c r="U89" i="30"/>
  <c r="T89" i="30"/>
  <c r="S89" i="30"/>
  <c r="R89" i="30"/>
  <c r="Q89" i="30"/>
  <c r="P89" i="30"/>
  <c r="O89" i="30"/>
  <c r="N89" i="30"/>
  <c r="M89" i="30"/>
  <c r="L89" i="30"/>
  <c r="K89" i="30"/>
  <c r="BH88" i="30"/>
  <c r="BG88" i="30"/>
  <c r="BF88" i="30"/>
  <c r="BE88" i="30"/>
  <c r="BD88" i="30"/>
  <c r="BC88" i="30"/>
  <c r="BB88" i="30"/>
  <c r="BA88" i="30"/>
  <c r="AZ88" i="30"/>
  <c r="AY88" i="30"/>
  <c r="AX88" i="30"/>
  <c r="AW88" i="30"/>
  <c r="AV88" i="30"/>
  <c r="AU88" i="30"/>
  <c r="AT88" i="30"/>
  <c r="AS88" i="30"/>
  <c r="AR88" i="30"/>
  <c r="AQ88" i="30"/>
  <c r="AP88" i="30"/>
  <c r="AO88" i="30"/>
  <c r="AN88" i="30"/>
  <c r="AM88" i="30"/>
  <c r="AL88" i="30"/>
  <c r="AK88" i="30"/>
  <c r="AJ88" i="30"/>
  <c r="AI88" i="30"/>
  <c r="AH88" i="30"/>
  <c r="AG88" i="30"/>
  <c r="AF88" i="30"/>
  <c r="AE88" i="30"/>
  <c r="AD88" i="30"/>
  <c r="AC88" i="30"/>
  <c r="AB88" i="30"/>
  <c r="AA88" i="30"/>
  <c r="Z88" i="30"/>
  <c r="Y88" i="30"/>
  <c r="X88" i="30"/>
  <c r="W88" i="30"/>
  <c r="V88" i="30"/>
  <c r="U88" i="30"/>
  <c r="T88" i="30"/>
  <c r="S88" i="30"/>
  <c r="R88" i="30"/>
  <c r="Q88" i="30"/>
  <c r="P88" i="30"/>
  <c r="O88" i="30"/>
  <c r="N88" i="30"/>
  <c r="M88" i="30"/>
  <c r="L88" i="30"/>
  <c r="K88" i="30"/>
  <c r="BH87" i="30"/>
  <c r="BG87" i="30"/>
  <c r="BF87" i="30"/>
  <c r="BE87" i="30"/>
  <c r="BD87" i="30"/>
  <c r="BC87" i="30"/>
  <c r="BB87" i="30"/>
  <c r="BA87" i="30"/>
  <c r="AZ87" i="30"/>
  <c r="AY87" i="30"/>
  <c r="AX87" i="30"/>
  <c r="AW87" i="30"/>
  <c r="AV87" i="30"/>
  <c r="AU87" i="30"/>
  <c r="AT87" i="30"/>
  <c r="AS87" i="30"/>
  <c r="AR87" i="30"/>
  <c r="AQ87" i="30"/>
  <c r="AP87" i="30"/>
  <c r="AO87" i="30"/>
  <c r="AN87" i="30"/>
  <c r="AM87" i="30"/>
  <c r="AL87" i="30"/>
  <c r="AK87" i="30"/>
  <c r="AJ87" i="30"/>
  <c r="AI87" i="30"/>
  <c r="AH87" i="30"/>
  <c r="AG87" i="30"/>
  <c r="AF87" i="30"/>
  <c r="AE87" i="30"/>
  <c r="AD87" i="30"/>
  <c r="AC87" i="30"/>
  <c r="AB87" i="30"/>
  <c r="AA87" i="30"/>
  <c r="Z87" i="30"/>
  <c r="Y87" i="30"/>
  <c r="X87" i="30"/>
  <c r="W87" i="30"/>
  <c r="V87" i="30"/>
  <c r="U87" i="30"/>
  <c r="T87" i="30"/>
  <c r="S87" i="30"/>
  <c r="R87" i="30"/>
  <c r="Q87" i="30"/>
  <c r="P87" i="30"/>
  <c r="O87" i="30"/>
  <c r="N87" i="30"/>
  <c r="M87" i="30"/>
  <c r="L87" i="30"/>
  <c r="K87" i="30"/>
  <c r="BH86" i="30"/>
  <c r="BG86" i="30"/>
  <c r="BF86" i="30"/>
  <c r="BE86" i="30"/>
  <c r="BD86" i="30"/>
  <c r="BC86" i="30"/>
  <c r="BB86" i="30"/>
  <c r="BA86" i="30"/>
  <c r="AZ86" i="30"/>
  <c r="AY86" i="30"/>
  <c r="AX86" i="30"/>
  <c r="AW86" i="30"/>
  <c r="AV86" i="30"/>
  <c r="AU86" i="30"/>
  <c r="AT86" i="30"/>
  <c r="AS86" i="30"/>
  <c r="AR86" i="30"/>
  <c r="AQ86" i="30"/>
  <c r="AP86" i="30"/>
  <c r="AO86" i="30"/>
  <c r="AN86" i="30"/>
  <c r="AM86" i="30"/>
  <c r="AL86" i="30"/>
  <c r="AK86" i="30"/>
  <c r="AJ86" i="30"/>
  <c r="AI86" i="30"/>
  <c r="AH86" i="30"/>
  <c r="AG86" i="30"/>
  <c r="AF86" i="30"/>
  <c r="AE86" i="30"/>
  <c r="AD86" i="30"/>
  <c r="AC86" i="30"/>
  <c r="AB86" i="30"/>
  <c r="AA86" i="30"/>
  <c r="Z86" i="30"/>
  <c r="Y86" i="30"/>
  <c r="X86" i="30"/>
  <c r="W86" i="30"/>
  <c r="V86" i="30"/>
  <c r="U86" i="30"/>
  <c r="T86" i="30"/>
  <c r="S86" i="30"/>
  <c r="R86" i="30"/>
  <c r="Q86" i="30"/>
  <c r="P86" i="30"/>
  <c r="O86" i="30"/>
  <c r="N86" i="30"/>
  <c r="M86" i="30"/>
  <c r="L86" i="30"/>
  <c r="K86" i="30"/>
  <c r="BH85" i="30"/>
  <c r="BG85" i="30"/>
  <c r="BF85" i="30"/>
  <c r="BE85" i="30"/>
  <c r="BD85" i="30"/>
  <c r="BC85" i="30"/>
  <c r="BB85" i="30"/>
  <c r="BA85" i="30"/>
  <c r="AZ85" i="30"/>
  <c r="AY85" i="30"/>
  <c r="AX85" i="30"/>
  <c r="AW85" i="30"/>
  <c r="AV85" i="30"/>
  <c r="AU85" i="30"/>
  <c r="AT85" i="30"/>
  <c r="AS85" i="30"/>
  <c r="AR85" i="30"/>
  <c r="AQ85" i="30"/>
  <c r="AP85" i="30"/>
  <c r="AO85" i="30"/>
  <c r="AN85" i="30"/>
  <c r="AM85" i="30"/>
  <c r="AL85" i="30"/>
  <c r="AK85" i="30"/>
  <c r="AJ85" i="30"/>
  <c r="AI85" i="30"/>
  <c r="AH85" i="30"/>
  <c r="AG85" i="30"/>
  <c r="AF85" i="30"/>
  <c r="AE85" i="30"/>
  <c r="AD85" i="30"/>
  <c r="AC85" i="30"/>
  <c r="AB85" i="30"/>
  <c r="AA85" i="30"/>
  <c r="Z85" i="30"/>
  <c r="Y85" i="30"/>
  <c r="X85" i="30"/>
  <c r="W85" i="30"/>
  <c r="V85" i="30"/>
  <c r="U85" i="30"/>
  <c r="T85" i="30"/>
  <c r="S85" i="30"/>
  <c r="R85" i="30"/>
  <c r="Q85" i="30"/>
  <c r="P85" i="30"/>
  <c r="O85" i="30"/>
  <c r="N85" i="30"/>
  <c r="M85" i="30"/>
  <c r="L85" i="30"/>
  <c r="K85" i="30"/>
  <c r="BH84" i="30"/>
  <c r="BG84" i="30"/>
  <c r="BF84" i="30"/>
  <c r="BE84" i="30"/>
  <c r="BD84" i="30"/>
  <c r="BC84" i="30"/>
  <c r="BB84" i="30"/>
  <c r="BA84" i="30"/>
  <c r="AZ84" i="30"/>
  <c r="AY84" i="30"/>
  <c r="AX84" i="30"/>
  <c r="AW84" i="30"/>
  <c r="AV84" i="30"/>
  <c r="AU84" i="30"/>
  <c r="AT84" i="30"/>
  <c r="AS84" i="30"/>
  <c r="AR84" i="30"/>
  <c r="AQ84" i="30"/>
  <c r="AP84" i="30"/>
  <c r="AO84" i="30"/>
  <c r="AN84" i="30"/>
  <c r="AM84" i="30"/>
  <c r="AL84" i="30"/>
  <c r="AK84" i="30"/>
  <c r="AJ84" i="30"/>
  <c r="AI84" i="30"/>
  <c r="AH84" i="30"/>
  <c r="AG84" i="30"/>
  <c r="AF84" i="30"/>
  <c r="AE84" i="30"/>
  <c r="AD84" i="30"/>
  <c r="AC84" i="30"/>
  <c r="AB84" i="30"/>
  <c r="AA84" i="30"/>
  <c r="Z84" i="30"/>
  <c r="Y84" i="30"/>
  <c r="X84" i="30"/>
  <c r="W84" i="30"/>
  <c r="V84" i="30"/>
  <c r="U84" i="30"/>
  <c r="T84" i="30"/>
  <c r="S84" i="30"/>
  <c r="R84" i="30"/>
  <c r="Q84" i="30"/>
  <c r="P84" i="30"/>
  <c r="O84" i="30"/>
  <c r="N84" i="30"/>
  <c r="M84" i="30"/>
  <c r="L84" i="30"/>
  <c r="K84" i="30"/>
  <c r="BH83" i="30"/>
  <c r="BG83" i="30"/>
  <c r="BF83" i="30"/>
  <c r="BE83" i="30"/>
  <c r="BD83" i="30"/>
  <c r="BC83" i="30"/>
  <c r="BB83" i="30"/>
  <c r="BA83" i="30"/>
  <c r="AZ83" i="30"/>
  <c r="AY83" i="30"/>
  <c r="AX83" i="30"/>
  <c r="AW83" i="30"/>
  <c r="AV83" i="30"/>
  <c r="AU83" i="30"/>
  <c r="AT83" i="30"/>
  <c r="AS83" i="30"/>
  <c r="AR83" i="30"/>
  <c r="AQ83" i="30"/>
  <c r="AP83" i="30"/>
  <c r="AO83" i="30"/>
  <c r="AN83" i="30"/>
  <c r="AM83" i="30"/>
  <c r="AL83" i="30"/>
  <c r="AK83" i="30"/>
  <c r="AJ83" i="30"/>
  <c r="AI83" i="30"/>
  <c r="AH83" i="30"/>
  <c r="AG83" i="30"/>
  <c r="AF83" i="30"/>
  <c r="AE83" i="30"/>
  <c r="AD83" i="30"/>
  <c r="AC83" i="30"/>
  <c r="AB83" i="30"/>
  <c r="AA83" i="30"/>
  <c r="Z83" i="30"/>
  <c r="Y83" i="30"/>
  <c r="X83" i="30"/>
  <c r="W83" i="30"/>
  <c r="V83" i="30"/>
  <c r="U83" i="30"/>
  <c r="T83" i="30"/>
  <c r="S83" i="30"/>
  <c r="R83" i="30"/>
  <c r="Q83" i="30"/>
  <c r="P83" i="30"/>
  <c r="O83" i="30"/>
  <c r="N83" i="30"/>
  <c r="M83" i="30"/>
  <c r="L83" i="30"/>
  <c r="K83" i="30"/>
  <c r="BH82" i="30"/>
  <c r="BG82" i="30"/>
  <c r="BF82" i="30"/>
  <c r="BE82" i="30"/>
  <c r="BD82" i="30"/>
  <c r="BC82" i="30"/>
  <c r="BB82" i="30"/>
  <c r="BA82" i="30"/>
  <c r="AZ82" i="30"/>
  <c r="AY82" i="30"/>
  <c r="AX82" i="30"/>
  <c r="AW82" i="30"/>
  <c r="AV82" i="30"/>
  <c r="AU82" i="30"/>
  <c r="AT82" i="30"/>
  <c r="AS82" i="30"/>
  <c r="AR82" i="30"/>
  <c r="AQ82" i="30"/>
  <c r="AP82" i="30"/>
  <c r="AO82" i="30"/>
  <c r="AN82" i="30"/>
  <c r="AM82" i="30"/>
  <c r="AL82" i="30"/>
  <c r="AK82" i="30"/>
  <c r="AJ82" i="30"/>
  <c r="AI82" i="30"/>
  <c r="AH82" i="30"/>
  <c r="AG82" i="30"/>
  <c r="AF82" i="30"/>
  <c r="AE82" i="30"/>
  <c r="AD82" i="30"/>
  <c r="AC82" i="30"/>
  <c r="AB82" i="30"/>
  <c r="AA82" i="30"/>
  <c r="Z82" i="30"/>
  <c r="Y82" i="30"/>
  <c r="X82" i="30"/>
  <c r="W82" i="30"/>
  <c r="V82" i="30"/>
  <c r="U82" i="30"/>
  <c r="T82" i="30"/>
  <c r="S82" i="30"/>
  <c r="R82" i="30"/>
  <c r="Q82" i="30"/>
  <c r="P82" i="30"/>
  <c r="O82" i="30"/>
  <c r="N82" i="30"/>
  <c r="M82" i="30"/>
  <c r="L82" i="30"/>
  <c r="K82" i="30"/>
  <c r="B78" i="30"/>
  <c r="B77" i="30"/>
  <c r="B76" i="30"/>
  <c r="B75" i="30"/>
  <c r="B74" i="30"/>
  <c r="B73" i="30"/>
  <c r="B72" i="30"/>
  <c r="B71" i="30"/>
  <c r="B70" i="30"/>
  <c r="B69" i="30"/>
  <c r="B68" i="30"/>
  <c r="B67" i="30"/>
  <c r="B66" i="30"/>
  <c r="B65" i="30"/>
  <c r="B64" i="30"/>
  <c r="B63" i="30"/>
  <c r="B62" i="30"/>
  <c r="B61" i="30"/>
  <c r="B60" i="30"/>
  <c r="B59" i="30"/>
  <c r="B58" i="30"/>
  <c r="B57" i="30"/>
  <c r="B56" i="30"/>
  <c r="B55" i="30"/>
  <c r="B54" i="30"/>
  <c r="B53" i="30"/>
  <c r="B52" i="30"/>
  <c r="J49" i="30"/>
  <c r="BH48" i="30"/>
  <c r="BG48" i="30"/>
  <c r="BF48" i="30"/>
  <c r="BE48" i="30"/>
  <c r="BD48" i="30"/>
  <c r="BC48" i="30"/>
  <c r="BB48" i="30"/>
  <c r="BA48" i="30"/>
  <c r="AZ48" i="30"/>
  <c r="AY48" i="30"/>
  <c r="AX48" i="30"/>
  <c r="AW48" i="30"/>
  <c r="AV48" i="30"/>
  <c r="AU48" i="30"/>
  <c r="AT48" i="30"/>
  <c r="AS48" i="30"/>
  <c r="AR48" i="30"/>
  <c r="AQ48" i="30"/>
  <c r="AP48" i="30"/>
  <c r="AO48" i="30"/>
  <c r="AN48" i="30"/>
  <c r="AM48" i="30"/>
  <c r="AL48" i="30"/>
  <c r="AK48" i="30"/>
  <c r="AJ48" i="30"/>
  <c r="AI48" i="30"/>
  <c r="AH48" i="30"/>
  <c r="AG48" i="30"/>
  <c r="AF48" i="30"/>
  <c r="AE48" i="30"/>
  <c r="AD48" i="30"/>
  <c r="AC48" i="30"/>
  <c r="AB48" i="30"/>
  <c r="AA48" i="30"/>
  <c r="Z48" i="30"/>
  <c r="Y48" i="30"/>
  <c r="X48" i="30"/>
  <c r="W48" i="30"/>
  <c r="V48" i="30"/>
  <c r="U48" i="30"/>
  <c r="T48" i="30"/>
  <c r="S48" i="30"/>
  <c r="R48" i="30"/>
  <c r="Q48" i="30"/>
  <c r="P48" i="30"/>
  <c r="O48" i="30"/>
  <c r="N48" i="30"/>
  <c r="M48" i="30"/>
  <c r="L48" i="30"/>
  <c r="K48" i="30"/>
  <c r="BH47" i="30"/>
  <c r="BG47" i="30"/>
  <c r="BF47" i="30"/>
  <c r="BE47" i="30"/>
  <c r="BD47" i="30"/>
  <c r="BC47" i="30"/>
  <c r="BB47" i="30"/>
  <c r="BA47" i="30"/>
  <c r="AZ47" i="30"/>
  <c r="AY47" i="30"/>
  <c r="AX47" i="30"/>
  <c r="AW47" i="30"/>
  <c r="AV47" i="30"/>
  <c r="AU47" i="30"/>
  <c r="AT47" i="30"/>
  <c r="AS47" i="30"/>
  <c r="AR47" i="30"/>
  <c r="AQ47" i="30"/>
  <c r="AP47" i="30"/>
  <c r="AO47" i="30"/>
  <c r="AN47" i="30"/>
  <c r="AM47" i="30"/>
  <c r="AL47" i="30"/>
  <c r="AK47" i="30"/>
  <c r="AJ47" i="30"/>
  <c r="AI47" i="30"/>
  <c r="AH47" i="30"/>
  <c r="AG47" i="30"/>
  <c r="AF47" i="30"/>
  <c r="AE47" i="30"/>
  <c r="AD47" i="30"/>
  <c r="AC47" i="30"/>
  <c r="AB47" i="30"/>
  <c r="AA47" i="30"/>
  <c r="Z47" i="30"/>
  <c r="Y47" i="30"/>
  <c r="X47" i="30"/>
  <c r="W47" i="30"/>
  <c r="V47" i="30"/>
  <c r="U47" i="30"/>
  <c r="T47" i="30"/>
  <c r="S47" i="30"/>
  <c r="R47" i="30"/>
  <c r="Q47" i="30"/>
  <c r="P47" i="30"/>
  <c r="O47" i="30"/>
  <c r="N47" i="30"/>
  <c r="M47" i="30"/>
  <c r="L47" i="30"/>
  <c r="K47" i="30"/>
  <c r="BH46" i="30"/>
  <c r="BG46" i="30"/>
  <c r="BF46" i="30"/>
  <c r="BE46" i="30"/>
  <c r="BD46" i="30"/>
  <c r="BC46" i="30"/>
  <c r="BB46" i="30"/>
  <c r="BA46" i="30"/>
  <c r="AZ46" i="30"/>
  <c r="AY46" i="30"/>
  <c r="AX46" i="30"/>
  <c r="AW46" i="30"/>
  <c r="AV46" i="30"/>
  <c r="AU46" i="30"/>
  <c r="AT46" i="30"/>
  <c r="AS46" i="30"/>
  <c r="AR46" i="30"/>
  <c r="AQ46" i="30"/>
  <c r="AP46" i="30"/>
  <c r="AO46" i="30"/>
  <c r="AN46" i="30"/>
  <c r="AM46" i="30"/>
  <c r="AL46" i="30"/>
  <c r="AK46" i="30"/>
  <c r="AJ46" i="30"/>
  <c r="AI46" i="30"/>
  <c r="AH46" i="30"/>
  <c r="AG46" i="30"/>
  <c r="AF46" i="30"/>
  <c r="AE46" i="30"/>
  <c r="AD46" i="30"/>
  <c r="AC46" i="30"/>
  <c r="AB46" i="30"/>
  <c r="AA46" i="30"/>
  <c r="Z46" i="30"/>
  <c r="Y46" i="30"/>
  <c r="X46" i="30"/>
  <c r="W46" i="30"/>
  <c r="V46" i="30"/>
  <c r="U46" i="30"/>
  <c r="T46" i="30"/>
  <c r="S46" i="30"/>
  <c r="R46" i="30"/>
  <c r="Q46" i="30"/>
  <c r="P46" i="30"/>
  <c r="O46" i="30"/>
  <c r="N46" i="30"/>
  <c r="M46" i="30"/>
  <c r="L46" i="30"/>
  <c r="K46" i="30"/>
  <c r="BH45" i="30"/>
  <c r="BG45" i="30"/>
  <c r="BF45" i="30"/>
  <c r="BE45" i="30"/>
  <c r="BD45" i="30"/>
  <c r="BC45" i="30"/>
  <c r="BB45" i="30"/>
  <c r="BA45" i="30"/>
  <c r="AZ45" i="30"/>
  <c r="AY45" i="30"/>
  <c r="AX45" i="30"/>
  <c r="AW45" i="30"/>
  <c r="AV45" i="30"/>
  <c r="AU45" i="30"/>
  <c r="AT45" i="30"/>
  <c r="AS45" i="30"/>
  <c r="AR45" i="30"/>
  <c r="AQ45" i="30"/>
  <c r="AP45" i="30"/>
  <c r="AO45" i="30"/>
  <c r="AN45" i="30"/>
  <c r="AM45" i="30"/>
  <c r="AL45" i="30"/>
  <c r="AK45" i="30"/>
  <c r="AJ45" i="30"/>
  <c r="AI45" i="30"/>
  <c r="AH45" i="30"/>
  <c r="AG45" i="30"/>
  <c r="AF45" i="30"/>
  <c r="AE45" i="30"/>
  <c r="AD45" i="30"/>
  <c r="AC45" i="30"/>
  <c r="AB45" i="30"/>
  <c r="AA45" i="30"/>
  <c r="Z45" i="30"/>
  <c r="Y45" i="30"/>
  <c r="X45" i="30"/>
  <c r="W45" i="30"/>
  <c r="V45" i="30"/>
  <c r="U45" i="30"/>
  <c r="T45" i="30"/>
  <c r="S45" i="30"/>
  <c r="R45" i="30"/>
  <c r="Q45" i="30"/>
  <c r="P45" i="30"/>
  <c r="O45" i="30"/>
  <c r="N45" i="30"/>
  <c r="M45" i="30"/>
  <c r="L45" i="30"/>
  <c r="K45" i="30"/>
  <c r="BH44" i="30"/>
  <c r="BG44" i="30"/>
  <c r="BF44" i="30"/>
  <c r="BE44" i="30"/>
  <c r="BD44" i="30"/>
  <c r="BC44" i="30"/>
  <c r="BB44" i="30"/>
  <c r="BA44" i="30"/>
  <c r="AZ44" i="30"/>
  <c r="AY44" i="30"/>
  <c r="AX44" i="30"/>
  <c r="AW44" i="30"/>
  <c r="AV44" i="30"/>
  <c r="AU44" i="30"/>
  <c r="AT44" i="30"/>
  <c r="AS44" i="30"/>
  <c r="AR44" i="30"/>
  <c r="AQ44" i="30"/>
  <c r="AP44" i="30"/>
  <c r="AO44" i="30"/>
  <c r="AN44" i="30"/>
  <c r="AM44" i="30"/>
  <c r="AL44" i="30"/>
  <c r="AK44" i="30"/>
  <c r="AJ44" i="30"/>
  <c r="AI44" i="30"/>
  <c r="AH44" i="30"/>
  <c r="AG44" i="30"/>
  <c r="AF44" i="30"/>
  <c r="AE44" i="30"/>
  <c r="AD44" i="30"/>
  <c r="AC44" i="30"/>
  <c r="AB44" i="30"/>
  <c r="AA44" i="30"/>
  <c r="Z44" i="30"/>
  <c r="Y44" i="30"/>
  <c r="X44" i="30"/>
  <c r="W44" i="30"/>
  <c r="V44" i="30"/>
  <c r="U44" i="30"/>
  <c r="T44" i="30"/>
  <c r="S44" i="30"/>
  <c r="R44" i="30"/>
  <c r="Q44" i="30"/>
  <c r="P44" i="30"/>
  <c r="O44" i="30"/>
  <c r="N44" i="30"/>
  <c r="M44" i="30"/>
  <c r="L44" i="30"/>
  <c r="K44" i="30"/>
  <c r="BH43" i="30"/>
  <c r="BG43" i="30"/>
  <c r="BF43" i="30"/>
  <c r="BE43" i="30"/>
  <c r="BD43" i="30"/>
  <c r="BC43" i="30"/>
  <c r="BB43" i="30"/>
  <c r="BA43" i="30"/>
  <c r="AZ43" i="30"/>
  <c r="AY43" i="30"/>
  <c r="AX43" i="30"/>
  <c r="AW43" i="30"/>
  <c r="AV43" i="30"/>
  <c r="AU43" i="30"/>
  <c r="AT43" i="30"/>
  <c r="AS43" i="30"/>
  <c r="AR43" i="30"/>
  <c r="AQ43" i="30"/>
  <c r="AP43" i="30"/>
  <c r="AO43" i="30"/>
  <c r="AN43" i="30"/>
  <c r="AM43" i="30"/>
  <c r="AL43" i="30"/>
  <c r="AK43" i="30"/>
  <c r="AJ43" i="30"/>
  <c r="AI43" i="30"/>
  <c r="AH43" i="30"/>
  <c r="AG43" i="30"/>
  <c r="AF43" i="30"/>
  <c r="AE43" i="30"/>
  <c r="AD43" i="30"/>
  <c r="AC43" i="30"/>
  <c r="AB43" i="30"/>
  <c r="AA43" i="30"/>
  <c r="Z43" i="30"/>
  <c r="Y43" i="30"/>
  <c r="X43" i="30"/>
  <c r="W43" i="30"/>
  <c r="V43" i="30"/>
  <c r="U43" i="30"/>
  <c r="T43" i="30"/>
  <c r="S43" i="30"/>
  <c r="R43" i="30"/>
  <c r="Q43" i="30"/>
  <c r="P43" i="30"/>
  <c r="O43" i="30"/>
  <c r="N43" i="30"/>
  <c r="M43" i="30"/>
  <c r="L43" i="30"/>
  <c r="K43" i="30"/>
  <c r="BH42" i="30"/>
  <c r="BG42" i="30"/>
  <c r="BF42" i="30"/>
  <c r="BE42" i="30"/>
  <c r="BD42" i="30"/>
  <c r="BC42" i="30"/>
  <c r="BB42" i="30"/>
  <c r="BA42" i="30"/>
  <c r="AZ42" i="30"/>
  <c r="AY42" i="30"/>
  <c r="AX42" i="30"/>
  <c r="AW42" i="30"/>
  <c r="AV42" i="30"/>
  <c r="AU42" i="30"/>
  <c r="AT42" i="30"/>
  <c r="AS42" i="30"/>
  <c r="AR42" i="30"/>
  <c r="AQ42" i="30"/>
  <c r="AP42" i="30"/>
  <c r="AO42" i="30"/>
  <c r="AN42" i="30"/>
  <c r="AM42" i="30"/>
  <c r="AL42" i="30"/>
  <c r="AK42" i="30"/>
  <c r="AJ42" i="30"/>
  <c r="AI42" i="30"/>
  <c r="AH42" i="30"/>
  <c r="AG42" i="30"/>
  <c r="AF42" i="30"/>
  <c r="AE42" i="30"/>
  <c r="AD42" i="30"/>
  <c r="AC42" i="30"/>
  <c r="AB42" i="30"/>
  <c r="AA42" i="30"/>
  <c r="Z42" i="30"/>
  <c r="Y42" i="30"/>
  <c r="X42" i="30"/>
  <c r="W42" i="30"/>
  <c r="V42" i="30"/>
  <c r="U42" i="30"/>
  <c r="T42" i="30"/>
  <c r="S42" i="30"/>
  <c r="R42" i="30"/>
  <c r="Q42" i="30"/>
  <c r="P42" i="30"/>
  <c r="O42" i="30"/>
  <c r="N42" i="30"/>
  <c r="M42" i="30"/>
  <c r="L42" i="30"/>
  <c r="K42" i="30"/>
  <c r="BH41" i="30"/>
  <c r="BG41" i="30"/>
  <c r="BF41" i="30"/>
  <c r="BE41" i="30"/>
  <c r="BD41" i="30"/>
  <c r="BC41" i="30"/>
  <c r="BB41" i="30"/>
  <c r="BA41" i="30"/>
  <c r="AZ41" i="30"/>
  <c r="AY41" i="30"/>
  <c r="AX41" i="30"/>
  <c r="AW41" i="30"/>
  <c r="AV41" i="30"/>
  <c r="AU41" i="30"/>
  <c r="AT41" i="30"/>
  <c r="AS41" i="30"/>
  <c r="AR41" i="30"/>
  <c r="AQ41" i="30"/>
  <c r="AP41" i="30"/>
  <c r="AO41" i="30"/>
  <c r="AN41" i="30"/>
  <c r="AM41" i="30"/>
  <c r="AL41" i="30"/>
  <c r="AK41" i="30"/>
  <c r="AJ41" i="30"/>
  <c r="AI41" i="30"/>
  <c r="AH41" i="30"/>
  <c r="AG41" i="30"/>
  <c r="AF41" i="30"/>
  <c r="AE41" i="30"/>
  <c r="AD41" i="30"/>
  <c r="AC41" i="30"/>
  <c r="AB41" i="30"/>
  <c r="AA41" i="30"/>
  <c r="Z41" i="30"/>
  <c r="Y41" i="30"/>
  <c r="X41" i="30"/>
  <c r="W41" i="30"/>
  <c r="V41" i="30"/>
  <c r="U41" i="30"/>
  <c r="T41" i="30"/>
  <c r="S41" i="30"/>
  <c r="R41" i="30"/>
  <c r="Q41" i="30"/>
  <c r="P41" i="30"/>
  <c r="O41" i="30"/>
  <c r="N41" i="30"/>
  <c r="M41" i="30"/>
  <c r="L41" i="30"/>
  <c r="K41" i="30"/>
  <c r="BH40" i="30"/>
  <c r="BG40" i="30"/>
  <c r="BF40" i="30"/>
  <c r="BE40" i="30"/>
  <c r="BD40" i="30"/>
  <c r="BC40" i="30"/>
  <c r="BB40" i="30"/>
  <c r="BA40" i="30"/>
  <c r="AZ40" i="30"/>
  <c r="AY40" i="30"/>
  <c r="AX40" i="30"/>
  <c r="AW40" i="30"/>
  <c r="AV40" i="30"/>
  <c r="AU40" i="30"/>
  <c r="AT40" i="30"/>
  <c r="AS40" i="30"/>
  <c r="AR40" i="30"/>
  <c r="AQ40" i="30"/>
  <c r="AP40" i="30"/>
  <c r="AO40" i="30"/>
  <c r="AN40" i="30"/>
  <c r="AM40" i="30"/>
  <c r="AL40" i="30"/>
  <c r="AK40" i="30"/>
  <c r="AJ40" i="30"/>
  <c r="AI40" i="30"/>
  <c r="AH40" i="30"/>
  <c r="AG40" i="30"/>
  <c r="AF40" i="30"/>
  <c r="AE40" i="30"/>
  <c r="AD40" i="30"/>
  <c r="AC40" i="30"/>
  <c r="AB40" i="30"/>
  <c r="AA40" i="30"/>
  <c r="Z40" i="30"/>
  <c r="Y40" i="30"/>
  <c r="X40" i="30"/>
  <c r="W40" i="30"/>
  <c r="V40" i="30"/>
  <c r="U40" i="30"/>
  <c r="T40" i="30"/>
  <c r="S40" i="30"/>
  <c r="R40" i="30"/>
  <c r="Q40" i="30"/>
  <c r="P40" i="30"/>
  <c r="O40" i="30"/>
  <c r="N40" i="30"/>
  <c r="M40" i="30"/>
  <c r="L40" i="30"/>
  <c r="K40" i="30"/>
  <c r="BH39" i="30"/>
  <c r="BG39" i="30"/>
  <c r="BF39" i="30"/>
  <c r="BE39" i="30"/>
  <c r="BD39" i="30"/>
  <c r="BC39" i="30"/>
  <c r="BB39" i="30"/>
  <c r="BA39" i="30"/>
  <c r="AZ39" i="30"/>
  <c r="AY39" i="30"/>
  <c r="AX39" i="30"/>
  <c r="AW39" i="30"/>
  <c r="AV39" i="30"/>
  <c r="AU39" i="30"/>
  <c r="AT39" i="30"/>
  <c r="AS39" i="30"/>
  <c r="AR39" i="30"/>
  <c r="AQ39" i="30"/>
  <c r="AP39" i="30"/>
  <c r="AO39" i="30"/>
  <c r="AN39" i="30"/>
  <c r="AM39" i="30"/>
  <c r="AL39" i="30"/>
  <c r="AK39" i="30"/>
  <c r="AJ39" i="30"/>
  <c r="AI39" i="30"/>
  <c r="AH39" i="30"/>
  <c r="AG39" i="30"/>
  <c r="AF39" i="30"/>
  <c r="AE39" i="30"/>
  <c r="AD39" i="30"/>
  <c r="AC39" i="30"/>
  <c r="AB39" i="30"/>
  <c r="AA39" i="30"/>
  <c r="Z39" i="30"/>
  <c r="Y39" i="30"/>
  <c r="X39" i="30"/>
  <c r="W39" i="30"/>
  <c r="V39" i="30"/>
  <c r="U39" i="30"/>
  <c r="T39" i="30"/>
  <c r="S39" i="30"/>
  <c r="R39" i="30"/>
  <c r="Q39" i="30"/>
  <c r="P39" i="30"/>
  <c r="O39" i="30"/>
  <c r="N39" i="30"/>
  <c r="M39" i="30"/>
  <c r="L39" i="30"/>
  <c r="K39" i="30"/>
  <c r="BH38" i="30"/>
  <c r="BG38" i="30"/>
  <c r="BF38" i="30"/>
  <c r="BE38" i="30"/>
  <c r="BD38" i="30"/>
  <c r="BC38" i="30"/>
  <c r="BB38" i="30"/>
  <c r="BA38" i="30"/>
  <c r="AZ38" i="30"/>
  <c r="AY38" i="30"/>
  <c r="AX38" i="30"/>
  <c r="AW38" i="30"/>
  <c r="AV38" i="30"/>
  <c r="AU38" i="30"/>
  <c r="AT38" i="30"/>
  <c r="AS38" i="30"/>
  <c r="AR38" i="30"/>
  <c r="AQ38" i="30"/>
  <c r="AP38" i="30"/>
  <c r="AO38" i="30"/>
  <c r="AN38" i="30"/>
  <c r="AM38" i="30"/>
  <c r="AL38" i="30"/>
  <c r="AK38" i="30"/>
  <c r="AJ38" i="30"/>
  <c r="AI38" i="30"/>
  <c r="AH38" i="30"/>
  <c r="AG38" i="30"/>
  <c r="AF38" i="30"/>
  <c r="AE38" i="30"/>
  <c r="AD38" i="30"/>
  <c r="AC38" i="30"/>
  <c r="AB38" i="30"/>
  <c r="AA38" i="30"/>
  <c r="Z38" i="30"/>
  <c r="Y38" i="30"/>
  <c r="X38" i="30"/>
  <c r="W38" i="30"/>
  <c r="V38" i="30"/>
  <c r="U38" i="30"/>
  <c r="T38" i="30"/>
  <c r="S38" i="30"/>
  <c r="R38" i="30"/>
  <c r="Q38" i="30"/>
  <c r="P38" i="30"/>
  <c r="O38" i="30"/>
  <c r="N38" i="30"/>
  <c r="M38" i="30"/>
  <c r="L38" i="30"/>
  <c r="K38" i="30"/>
  <c r="BH37" i="30"/>
  <c r="BG37" i="30"/>
  <c r="BF37" i="30"/>
  <c r="BE37" i="30"/>
  <c r="BD37" i="30"/>
  <c r="BC37" i="30"/>
  <c r="BB37" i="30"/>
  <c r="BA37" i="30"/>
  <c r="AZ37" i="30"/>
  <c r="AY37" i="30"/>
  <c r="AX37" i="30"/>
  <c r="AW37" i="30"/>
  <c r="AV37" i="30"/>
  <c r="AU37" i="30"/>
  <c r="AT37" i="30"/>
  <c r="AS37" i="30"/>
  <c r="AR37" i="30"/>
  <c r="AQ37" i="30"/>
  <c r="AP37" i="30"/>
  <c r="AO37" i="30"/>
  <c r="AN37" i="30"/>
  <c r="AM37" i="30"/>
  <c r="AL37" i="30"/>
  <c r="AK37" i="30"/>
  <c r="AJ37" i="30"/>
  <c r="AI37" i="30"/>
  <c r="AH37" i="30"/>
  <c r="AG37" i="30"/>
  <c r="AF37" i="30"/>
  <c r="AE37" i="30"/>
  <c r="AD37" i="30"/>
  <c r="AC37" i="30"/>
  <c r="AB37" i="30"/>
  <c r="AA37" i="30"/>
  <c r="Z37" i="30"/>
  <c r="Y37" i="30"/>
  <c r="X37" i="30"/>
  <c r="W37" i="30"/>
  <c r="V37" i="30"/>
  <c r="U37" i="30"/>
  <c r="T37" i="30"/>
  <c r="S37" i="30"/>
  <c r="R37" i="30"/>
  <c r="Q37" i="30"/>
  <c r="P37" i="30"/>
  <c r="O37" i="30"/>
  <c r="N37" i="30"/>
  <c r="M37" i="30"/>
  <c r="L37" i="30"/>
  <c r="K37" i="30"/>
  <c r="BH36" i="30"/>
  <c r="BG36" i="30"/>
  <c r="BF36" i="30"/>
  <c r="BE36" i="30"/>
  <c r="BD36" i="30"/>
  <c r="BC36" i="30"/>
  <c r="BB36" i="30"/>
  <c r="BA36" i="30"/>
  <c r="AZ36" i="30"/>
  <c r="AY36" i="30"/>
  <c r="AX36" i="30"/>
  <c r="AW36" i="30"/>
  <c r="AV36" i="30"/>
  <c r="AU36" i="30"/>
  <c r="AT36" i="30"/>
  <c r="AS36" i="30"/>
  <c r="AR36" i="30"/>
  <c r="AQ36" i="30"/>
  <c r="AP36" i="30"/>
  <c r="AO36" i="30"/>
  <c r="AN36" i="30"/>
  <c r="AM36" i="30"/>
  <c r="AL36" i="30"/>
  <c r="AK36" i="30"/>
  <c r="AJ36" i="30"/>
  <c r="AI36" i="30"/>
  <c r="AH36" i="30"/>
  <c r="AG36" i="30"/>
  <c r="AF36" i="30"/>
  <c r="AE36" i="30"/>
  <c r="AD36" i="30"/>
  <c r="AC36" i="30"/>
  <c r="AB36" i="30"/>
  <c r="AA36" i="30"/>
  <c r="Z36" i="30"/>
  <c r="Y36" i="30"/>
  <c r="X36" i="30"/>
  <c r="W36" i="30"/>
  <c r="V36" i="30"/>
  <c r="U36" i="30"/>
  <c r="T36" i="30"/>
  <c r="S36" i="30"/>
  <c r="R36" i="30"/>
  <c r="Q36" i="30"/>
  <c r="P36" i="30"/>
  <c r="O36" i="30"/>
  <c r="N36" i="30"/>
  <c r="M36" i="30"/>
  <c r="L36" i="30"/>
  <c r="K36" i="30"/>
  <c r="BH35" i="30"/>
  <c r="BG35" i="30"/>
  <c r="BF35" i="30"/>
  <c r="BE35" i="30"/>
  <c r="BD35" i="30"/>
  <c r="BC35" i="30"/>
  <c r="BB35" i="30"/>
  <c r="BA35" i="30"/>
  <c r="AZ35" i="30"/>
  <c r="AY35" i="30"/>
  <c r="AX35" i="30"/>
  <c r="AW35" i="30"/>
  <c r="AV35" i="30"/>
  <c r="AU35" i="30"/>
  <c r="AT35" i="30"/>
  <c r="AS35" i="30"/>
  <c r="AR35" i="30"/>
  <c r="AQ35" i="30"/>
  <c r="AP35" i="30"/>
  <c r="AO35" i="30"/>
  <c r="AN35" i="30"/>
  <c r="AM35" i="30"/>
  <c r="AL35" i="30"/>
  <c r="AK35" i="30"/>
  <c r="AJ35" i="30"/>
  <c r="AI35" i="30"/>
  <c r="AH35" i="30"/>
  <c r="AG35" i="30"/>
  <c r="AF35" i="30"/>
  <c r="AE35" i="30"/>
  <c r="AD35" i="30"/>
  <c r="AC35" i="30"/>
  <c r="AB35" i="30"/>
  <c r="AA35" i="30"/>
  <c r="Z35" i="30"/>
  <c r="Y35" i="30"/>
  <c r="X35" i="30"/>
  <c r="W35" i="30"/>
  <c r="V35" i="30"/>
  <c r="U35" i="30"/>
  <c r="T35" i="30"/>
  <c r="S35" i="30"/>
  <c r="R35" i="30"/>
  <c r="Q35" i="30"/>
  <c r="P35" i="30"/>
  <c r="O35" i="30"/>
  <c r="N35" i="30"/>
  <c r="M35" i="30"/>
  <c r="L35" i="30"/>
  <c r="K35" i="30"/>
  <c r="BH34" i="30"/>
  <c r="BG34" i="30"/>
  <c r="BF34" i="30"/>
  <c r="BE34" i="30"/>
  <c r="BD34" i="30"/>
  <c r="BC34" i="30"/>
  <c r="BB34" i="30"/>
  <c r="BA34" i="30"/>
  <c r="AZ34" i="30"/>
  <c r="AY34" i="30"/>
  <c r="AX34" i="30"/>
  <c r="AW34" i="30"/>
  <c r="AV34" i="30"/>
  <c r="AU34" i="30"/>
  <c r="AT34" i="30"/>
  <c r="AS34" i="30"/>
  <c r="AR34" i="30"/>
  <c r="AQ34" i="30"/>
  <c r="AP34" i="30"/>
  <c r="AO34" i="30"/>
  <c r="AN34" i="30"/>
  <c r="AM34" i="30"/>
  <c r="AL34" i="30"/>
  <c r="AK34" i="30"/>
  <c r="AJ34" i="30"/>
  <c r="AI34" i="30"/>
  <c r="AH34" i="30"/>
  <c r="AG34" i="30"/>
  <c r="AF34" i="30"/>
  <c r="AE34" i="30"/>
  <c r="AD34" i="30"/>
  <c r="AC34" i="30"/>
  <c r="AB34" i="30"/>
  <c r="AA34" i="30"/>
  <c r="Z34" i="30"/>
  <c r="Y34" i="30"/>
  <c r="X34" i="30"/>
  <c r="W34" i="30"/>
  <c r="V34" i="30"/>
  <c r="U34" i="30"/>
  <c r="T34" i="30"/>
  <c r="S34" i="30"/>
  <c r="R34" i="30"/>
  <c r="Q34" i="30"/>
  <c r="P34" i="30"/>
  <c r="O34" i="30"/>
  <c r="N34" i="30"/>
  <c r="M34" i="30"/>
  <c r="L34" i="30"/>
  <c r="K34" i="30"/>
  <c r="BH33" i="30"/>
  <c r="BG33" i="30"/>
  <c r="BF33" i="30"/>
  <c r="BE33" i="30"/>
  <c r="BD33" i="30"/>
  <c r="BC33" i="30"/>
  <c r="BB33" i="30"/>
  <c r="BA33" i="30"/>
  <c r="AZ33" i="30"/>
  <c r="AY33" i="30"/>
  <c r="AX33" i="30"/>
  <c r="AW33" i="30"/>
  <c r="AV33" i="30"/>
  <c r="AU33" i="30"/>
  <c r="AT33" i="30"/>
  <c r="AS33" i="30"/>
  <c r="AR33" i="30"/>
  <c r="AQ33" i="30"/>
  <c r="AP33" i="30"/>
  <c r="AO33" i="30"/>
  <c r="AN33" i="30"/>
  <c r="AM33" i="30"/>
  <c r="AL33" i="30"/>
  <c r="AK33" i="30"/>
  <c r="AJ33" i="30"/>
  <c r="AI33" i="30"/>
  <c r="AH33" i="30"/>
  <c r="AG33" i="30"/>
  <c r="AF33" i="30"/>
  <c r="AE33" i="30"/>
  <c r="AD33" i="30"/>
  <c r="AC33" i="30"/>
  <c r="AB33" i="30"/>
  <c r="AA33" i="30"/>
  <c r="Z33" i="30"/>
  <c r="Y33" i="30"/>
  <c r="X33" i="30"/>
  <c r="W33" i="30"/>
  <c r="V33" i="30"/>
  <c r="U33" i="30"/>
  <c r="T33" i="30"/>
  <c r="S33" i="30"/>
  <c r="R33" i="30"/>
  <c r="Q33" i="30"/>
  <c r="P33" i="30"/>
  <c r="O33" i="30"/>
  <c r="N33" i="30"/>
  <c r="M33" i="30"/>
  <c r="L33" i="30"/>
  <c r="K33" i="30"/>
  <c r="BH32" i="30"/>
  <c r="BG32" i="30"/>
  <c r="BF32" i="30"/>
  <c r="BE32" i="30"/>
  <c r="BD32" i="30"/>
  <c r="BC32" i="30"/>
  <c r="BB32" i="30"/>
  <c r="BA32" i="30"/>
  <c r="AZ32" i="30"/>
  <c r="AY32" i="30"/>
  <c r="AX32" i="30"/>
  <c r="AW32" i="30"/>
  <c r="AV32" i="30"/>
  <c r="AU32" i="30"/>
  <c r="AT32" i="30"/>
  <c r="AS32" i="30"/>
  <c r="AR32" i="30"/>
  <c r="AQ32" i="30"/>
  <c r="AP32" i="30"/>
  <c r="AO32" i="30"/>
  <c r="AN32" i="30"/>
  <c r="AM32" i="30"/>
  <c r="AL32" i="30"/>
  <c r="AK32" i="30"/>
  <c r="AJ32" i="30"/>
  <c r="AI32" i="30"/>
  <c r="AH32" i="30"/>
  <c r="AG32" i="30"/>
  <c r="AF32" i="30"/>
  <c r="AE32" i="30"/>
  <c r="AD32" i="30"/>
  <c r="AC32" i="30"/>
  <c r="AB32" i="30"/>
  <c r="AA32" i="30"/>
  <c r="Z32" i="30"/>
  <c r="Y32" i="30"/>
  <c r="X32" i="30"/>
  <c r="W32" i="30"/>
  <c r="V32" i="30"/>
  <c r="U32" i="30"/>
  <c r="T32" i="30"/>
  <c r="S32" i="30"/>
  <c r="R32" i="30"/>
  <c r="Q32" i="30"/>
  <c r="P32" i="30"/>
  <c r="O32" i="30"/>
  <c r="N32" i="30"/>
  <c r="M32" i="30"/>
  <c r="L32" i="30"/>
  <c r="BH31" i="30"/>
  <c r="BG31" i="30"/>
  <c r="BF31" i="30"/>
  <c r="BE31" i="30"/>
  <c r="BD31" i="30"/>
  <c r="BC31" i="30"/>
  <c r="BB31" i="30"/>
  <c r="BA31" i="30"/>
  <c r="AZ31" i="30"/>
  <c r="AY31" i="30"/>
  <c r="AX31" i="30"/>
  <c r="AW31" i="30"/>
  <c r="AV31" i="30"/>
  <c r="AU31" i="30"/>
  <c r="AT31" i="30"/>
  <c r="AS31" i="30"/>
  <c r="AR31" i="30"/>
  <c r="AQ31" i="30"/>
  <c r="AP31" i="30"/>
  <c r="AO31" i="30"/>
  <c r="AN31" i="30"/>
  <c r="AM31" i="30"/>
  <c r="AL31" i="30"/>
  <c r="AK31" i="30"/>
  <c r="AJ31" i="30"/>
  <c r="AI31" i="30"/>
  <c r="AH31" i="30"/>
  <c r="AG31" i="30"/>
  <c r="AF31" i="30"/>
  <c r="AE31" i="30"/>
  <c r="AD31" i="30"/>
  <c r="AC31" i="30"/>
  <c r="AB31" i="30"/>
  <c r="AA31" i="30"/>
  <c r="Z31" i="30"/>
  <c r="Y31" i="30"/>
  <c r="X31" i="30"/>
  <c r="W31" i="30"/>
  <c r="V31" i="30"/>
  <c r="U31" i="30"/>
  <c r="T31" i="30"/>
  <c r="S31" i="30"/>
  <c r="R31" i="30"/>
  <c r="Q31" i="30"/>
  <c r="P31" i="30"/>
  <c r="O31" i="30"/>
  <c r="N31" i="30"/>
  <c r="M31" i="30"/>
  <c r="L31" i="30"/>
  <c r="K31" i="30"/>
  <c r="BH30" i="30"/>
  <c r="BG30" i="30"/>
  <c r="BF30" i="30"/>
  <c r="BE30" i="30"/>
  <c r="BD30" i="30"/>
  <c r="BC30" i="30"/>
  <c r="BB30" i="30"/>
  <c r="BA30" i="30"/>
  <c r="AZ30" i="30"/>
  <c r="AY30" i="30"/>
  <c r="AX30" i="30"/>
  <c r="AW30" i="30"/>
  <c r="AV30" i="30"/>
  <c r="AU30" i="30"/>
  <c r="AT30" i="30"/>
  <c r="AS30" i="30"/>
  <c r="AR30" i="30"/>
  <c r="AQ30" i="30"/>
  <c r="AP30" i="30"/>
  <c r="AO30" i="30"/>
  <c r="AN30" i="30"/>
  <c r="AM30" i="30"/>
  <c r="AL30" i="30"/>
  <c r="AK30" i="30"/>
  <c r="AJ30" i="30"/>
  <c r="AI30" i="30"/>
  <c r="AH30" i="30"/>
  <c r="AG30" i="30"/>
  <c r="AF30" i="30"/>
  <c r="AE30" i="30"/>
  <c r="AD30" i="30"/>
  <c r="AC30" i="30"/>
  <c r="AB30" i="30"/>
  <c r="AA30" i="30"/>
  <c r="Z30" i="30"/>
  <c r="Y30" i="30"/>
  <c r="X30" i="30"/>
  <c r="W30" i="30"/>
  <c r="V30" i="30"/>
  <c r="U30" i="30"/>
  <c r="T30" i="30"/>
  <c r="S30" i="30"/>
  <c r="R30" i="30"/>
  <c r="Q30" i="30"/>
  <c r="P30" i="30"/>
  <c r="O30" i="30"/>
  <c r="N30" i="30"/>
  <c r="M30" i="30"/>
  <c r="L30" i="30"/>
  <c r="K30" i="30"/>
  <c r="BH29" i="30"/>
  <c r="BG29" i="30"/>
  <c r="BF29" i="30"/>
  <c r="BE29" i="30"/>
  <c r="BD29" i="30"/>
  <c r="BC29" i="30"/>
  <c r="BB29" i="30"/>
  <c r="BA29" i="30"/>
  <c r="AZ29" i="30"/>
  <c r="AY29" i="30"/>
  <c r="AX29" i="30"/>
  <c r="AW29" i="30"/>
  <c r="AV29" i="30"/>
  <c r="AU29" i="30"/>
  <c r="AT29" i="30"/>
  <c r="AS29" i="30"/>
  <c r="AR29" i="30"/>
  <c r="AQ29" i="30"/>
  <c r="AP29" i="30"/>
  <c r="AO29" i="30"/>
  <c r="AN29" i="30"/>
  <c r="AM29" i="30"/>
  <c r="AL29" i="30"/>
  <c r="AK29" i="30"/>
  <c r="AJ29" i="30"/>
  <c r="AI29" i="30"/>
  <c r="AH29" i="30"/>
  <c r="AG29" i="30"/>
  <c r="AF29" i="30"/>
  <c r="AE29" i="30"/>
  <c r="AD29" i="30"/>
  <c r="AC29" i="30"/>
  <c r="AB29" i="30"/>
  <c r="AA29" i="30"/>
  <c r="Z29" i="30"/>
  <c r="Y29" i="30"/>
  <c r="X29" i="30"/>
  <c r="W29" i="30"/>
  <c r="V29" i="30"/>
  <c r="U29" i="30"/>
  <c r="T29" i="30"/>
  <c r="S29" i="30"/>
  <c r="R29" i="30"/>
  <c r="Q29" i="30"/>
  <c r="P29" i="30"/>
  <c r="O29" i="30"/>
  <c r="N29" i="30"/>
  <c r="M29" i="30"/>
  <c r="L29" i="30"/>
  <c r="K29" i="30"/>
  <c r="BH28" i="30"/>
  <c r="BG28" i="30"/>
  <c r="BF28" i="30"/>
  <c r="BE28" i="30"/>
  <c r="BD28" i="30"/>
  <c r="BC28" i="30"/>
  <c r="BB28" i="30"/>
  <c r="BA28" i="30"/>
  <c r="AZ28" i="30"/>
  <c r="AY28" i="30"/>
  <c r="AX28" i="30"/>
  <c r="AW28" i="30"/>
  <c r="AV28" i="30"/>
  <c r="AU28" i="30"/>
  <c r="AT28" i="30"/>
  <c r="AS28" i="30"/>
  <c r="AR28" i="30"/>
  <c r="AQ28" i="30"/>
  <c r="AP28" i="30"/>
  <c r="AO28" i="30"/>
  <c r="AN28" i="30"/>
  <c r="AM28" i="30"/>
  <c r="AL28" i="30"/>
  <c r="AK28" i="30"/>
  <c r="AJ28" i="30"/>
  <c r="AI28" i="30"/>
  <c r="AH28" i="30"/>
  <c r="AG28" i="30"/>
  <c r="AF28" i="30"/>
  <c r="AE28" i="30"/>
  <c r="AD28" i="30"/>
  <c r="AC28" i="30"/>
  <c r="AB28" i="30"/>
  <c r="AA28" i="30"/>
  <c r="Z28" i="30"/>
  <c r="Y28" i="30"/>
  <c r="X28" i="30"/>
  <c r="W28" i="30"/>
  <c r="V28" i="30"/>
  <c r="U28" i="30"/>
  <c r="T28" i="30"/>
  <c r="S28" i="30"/>
  <c r="R28" i="30"/>
  <c r="Q28" i="30"/>
  <c r="P28" i="30"/>
  <c r="O28" i="30"/>
  <c r="N28" i="30"/>
  <c r="M28" i="30"/>
  <c r="L28" i="30"/>
  <c r="K28" i="30"/>
  <c r="BH27" i="30"/>
  <c r="BG27" i="30"/>
  <c r="BF27" i="30"/>
  <c r="BE27" i="30"/>
  <c r="BD27" i="30"/>
  <c r="BC27" i="30"/>
  <c r="BB27" i="30"/>
  <c r="BA27" i="30"/>
  <c r="AZ27" i="30"/>
  <c r="AY27" i="30"/>
  <c r="AX27" i="30"/>
  <c r="AW27" i="30"/>
  <c r="AV27" i="30"/>
  <c r="AU27" i="30"/>
  <c r="AT27" i="30"/>
  <c r="AS27" i="30"/>
  <c r="AR27" i="30"/>
  <c r="AQ27" i="30"/>
  <c r="AP27" i="30"/>
  <c r="AO27" i="30"/>
  <c r="AN27" i="30"/>
  <c r="AM27" i="30"/>
  <c r="AL27" i="30"/>
  <c r="AK27" i="30"/>
  <c r="AJ27" i="30"/>
  <c r="AI27" i="30"/>
  <c r="AH27" i="30"/>
  <c r="AG27" i="30"/>
  <c r="AF27" i="30"/>
  <c r="AE27" i="30"/>
  <c r="AD27" i="30"/>
  <c r="AC27" i="30"/>
  <c r="AB27" i="30"/>
  <c r="AA27" i="30"/>
  <c r="Z27" i="30"/>
  <c r="Y27" i="30"/>
  <c r="X27" i="30"/>
  <c r="W27" i="30"/>
  <c r="V27" i="30"/>
  <c r="U27" i="30"/>
  <c r="T27" i="30"/>
  <c r="S27" i="30"/>
  <c r="R27" i="30"/>
  <c r="Q27" i="30"/>
  <c r="P27" i="30"/>
  <c r="O27" i="30"/>
  <c r="N27" i="30"/>
  <c r="M27" i="30"/>
  <c r="L27" i="30"/>
  <c r="K27" i="30"/>
  <c r="BH26" i="30"/>
  <c r="BG26" i="30"/>
  <c r="BF26" i="30"/>
  <c r="BE26" i="30"/>
  <c r="BD26" i="30"/>
  <c r="BC26" i="30"/>
  <c r="BB26" i="30"/>
  <c r="BA26" i="30"/>
  <c r="AZ26" i="30"/>
  <c r="AY26" i="30"/>
  <c r="AX26" i="30"/>
  <c r="AW26" i="30"/>
  <c r="AV26" i="30"/>
  <c r="AU26" i="30"/>
  <c r="AT26" i="30"/>
  <c r="AS26" i="30"/>
  <c r="AR26" i="30"/>
  <c r="AQ26" i="30"/>
  <c r="AP26" i="30"/>
  <c r="AO26" i="30"/>
  <c r="AN26" i="30"/>
  <c r="AM26" i="30"/>
  <c r="AL26" i="30"/>
  <c r="AK26" i="30"/>
  <c r="AJ26" i="30"/>
  <c r="AI26" i="30"/>
  <c r="AH26" i="30"/>
  <c r="AG26" i="30"/>
  <c r="AF26" i="30"/>
  <c r="AE26" i="30"/>
  <c r="AD26" i="30"/>
  <c r="AC26" i="30"/>
  <c r="AB26" i="30"/>
  <c r="AA26" i="30"/>
  <c r="Z26" i="30"/>
  <c r="Y26" i="30"/>
  <c r="X26" i="30"/>
  <c r="W26" i="30"/>
  <c r="V26" i="30"/>
  <c r="U26" i="30"/>
  <c r="T26" i="30"/>
  <c r="S26" i="30"/>
  <c r="R26" i="30"/>
  <c r="Q26" i="30"/>
  <c r="P26" i="30"/>
  <c r="O26" i="30"/>
  <c r="N26" i="30"/>
  <c r="M26" i="30"/>
  <c r="L26" i="30"/>
  <c r="K26" i="30"/>
  <c r="BH25" i="30"/>
  <c r="BG25" i="30"/>
  <c r="BF25" i="30"/>
  <c r="BE25" i="30"/>
  <c r="BD25" i="30"/>
  <c r="BC25" i="30"/>
  <c r="BB25" i="30"/>
  <c r="BA25" i="30"/>
  <c r="AZ25" i="30"/>
  <c r="AY25" i="30"/>
  <c r="AX25" i="30"/>
  <c r="AW25" i="30"/>
  <c r="AV25" i="30"/>
  <c r="AU25" i="30"/>
  <c r="AT25" i="30"/>
  <c r="AS25" i="30"/>
  <c r="AR25" i="30"/>
  <c r="AQ25" i="30"/>
  <c r="AP25" i="30"/>
  <c r="AO25" i="30"/>
  <c r="AN25" i="30"/>
  <c r="AM25" i="30"/>
  <c r="AL25" i="30"/>
  <c r="AK25" i="30"/>
  <c r="AJ25" i="30"/>
  <c r="AI25" i="30"/>
  <c r="AH25" i="30"/>
  <c r="AG25" i="30"/>
  <c r="AF25" i="30"/>
  <c r="AE25" i="30"/>
  <c r="AD25" i="30"/>
  <c r="AC25" i="30"/>
  <c r="AB25" i="30"/>
  <c r="AA25" i="30"/>
  <c r="Z25" i="30"/>
  <c r="Y25" i="30"/>
  <c r="X25" i="30"/>
  <c r="W25" i="30"/>
  <c r="V25" i="30"/>
  <c r="U25" i="30"/>
  <c r="T25" i="30"/>
  <c r="S25" i="30"/>
  <c r="R25" i="30"/>
  <c r="Q25" i="30"/>
  <c r="P25" i="30"/>
  <c r="O25" i="30"/>
  <c r="N25" i="30"/>
  <c r="M25" i="30"/>
  <c r="L25" i="30"/>
  <c r="K25" i="30"/>
  <c r="BH24" i="30"/>
  <c r="BG24" i="30"/>
  <c r="BF24" i="30"/>
  <c r="BE24" i="30"/>
  <c r="BD24" i="30"/>
  <c r="BC24" i="30"/>
  <c r="BB24" i="30"/>
  <c r="BA24" i="30"/>
  <c r="AZ24" i="30"/>
  <c r="AY24" i="30"/>
  <c r="AX24" i="30"/>
  <c r="AW24" i="30"/>
  <c r="AV24" i="30"/>
  <c r="AU24" i="30"/>
  <c r="AT24" i="30"/>
  <c r="AS24" i="30"/>
  <c r="AR24" i="30"/>
  <c r="AQ24" i="30"/>
  <c r="AP24" i="30"/>
  <c r="AO24" i="30"/>
  <c r="R24" i="30"/>
  <c r="AM24" i="30"/>
  <c r="BH23" i="30"/>
  <c r="BG23" i="30"/>
  <c r="BF23" i="30"/>
  <c r="BE23" i="30"/>
  <c r="BD23" i="30"/>
  <c r="BC23" i="30"/>
  <c r="BB23" i="30"/>
  <c r="BA23" i="30"/>
  <c r="AZ23" i="30"/>
  <c r="AY23" i="30"/>
  <c r="AX23" i="30"/>
  <c r="AW23" i="30"/>
  <c r="AV23" i="30"/>
  <c r="AU23" i="30"/>
  <c r="AT23" i="30"/>
  <c r="AS23" i="30"/>
  <c r="AR23" i="30"/>
  <c r="AQ23" i="30"/>
  <c r="AP23" i="30"/>
  <c r="AO23" i="30"/>
  <c r="BH22" i="30"/>
  <c r="BG22" i="30"/>
  <c r="BF22" i="30"/>
  <c r="BE22" i="30"/>
  <c r="BD22" i="30"/>
  <c r="BC22" i="30"/>
  <c r="BB22" i="30"/>
  <c r="BA22" i="30"/>
  <c r="AZ22" i="30"/>
  <c r="AY22" i="30"/>
  <c r="AX22" i="30"/>
  <c r="AW22" i="30"/>
  <c r="AV22" i="30"/>
  <c r="AU22" i="30"/>
  <c r="AT22" i="30"/>
  <c r="AS22" i="30"/>
  <c r="AR22" i="30"/>
  <c r="AQ22" i="30"/>
  <c r="AP22" i="30"/>
  <c r="AO22" i="30"/>
  <c r="AN22" i="30"/>
  <c r="AM22" i="30"/>
  <c r="AL22" i="30"/>
  <c r="AK22" i="30"/>
  <c r="AJ22" i="30"/>
  <c r="AI22" i="30"/>
  <c r="AH22" i="30"/>
  <c r="AG22" i="30"/>
  <c r="AF22" i="30"/>
  <c r="AE22" i="30"/>
  <c r="AD22" i="30"/>
  <c r="AC22" i="30"/>
  <c r="AB22" i="30"/>
  <c r="AA22" i="30"/>
  <c r="Z22" i="30"/>
  <c r="Y22" i="30"/>
  <c r="X22" i="30"/>
  <c r="W22" i="30"/>
  <c r="V22" i="30"/>
  <c r="U22" i="30"/>
  <c r="T22" i="30"/>
  <c r="S22" i="30"/>
  <c r="R22" i="30"/>
  <c r="Q22" i="30"/>
  <c r="P22" i="30"/>
  <c r="O22" i="30"/>
  <c r="N22" i="30"/>
  <c r="M22" i="30"/>
  <c r="L22" i="30"/>
  <c r="K22" i="30"/>
  <c r="F18" i="30"/>
  <c r="J145" i="30" s="1"/>
  <c r="E17" i="30"/>
  <c r="E16" i="30"/>
  <c r="E15" i="30"/>
  <c r="E14" i="30"/>
  <c r="E13" i="30"/>
  <c r="E12" i="30"/>
  <c r="E11" i="30"/>
  <c r="E10" i="30"/>
  <c r="E9" i="30"/>
  <c r="E8" i="30"/>
  <c r="AR49" i="30" l="1"/>
  <c r="AV49" i="30"/>
  <c r="AZ49" i="30"/>
  <c r="BD49" i="30"/>
  <c r="BH49" i="30"/>
  <c r="AO49" i="30"/>
  <c r="AS49" i="30"/>
  <c r="AW49" i="30"/>
  <c r="BA49" i="30"/>
  <c r="BE49" i="30"/>
  <c r="AP49" i="30"/>
  <c r="BB49" i="30"/>
  <c r="AT49" i="30"/>
  <c r="AX49" i="30"/>
  <c r="BF49" i="30"/>
  <c r="AQ49" i="30"/>
  <c r="AU49" i="30"/>
  <c r="AY49" i="30"/>
  <c r="BC49" i="30"/>
  <c r="BG49" i="30"/>
  <c r="J147" i="30"/>
  <c r="J152" i="30"/>
  <c r="K112" i="30"/>
  <c r="K152" i="30"/>
  <c r="O152" i="30"/>
  <c r="C32" i="30"/>
  <c r="BH152" i="30"/>
  <c r="E32" i="30"/>
  <c r="Y120" i="30"/>
  <c r="Z119" i="30"/>
  <c r="AC119" i="30"/>
  <c r="AK118" i="30"/>
  <c r="AN118" i="30"/>
  <c r="AN117" i="30"/>
  <c r="Q120" i="30"/>
  <c r="R120" i="30"/>
  <c r="AD119" i="30"/>
  <c r="S120" i="30"/>
  <c r="AH119" i="30"/>
  <c r="AF119" i="30"/>
  <c r="L120" i="30"/>
  <c r="T120" i="30"/>
  <c r="N119" i="30"/>
  <c r="AM119" i="30"/>
  <c r="M120" i="30"/>
  <c r="U120" i="30"/>
  <c r="AL117" i="30"/>
  <c r="O119" i="30"/>
  <c r="AN119" i="30"/>
  <c r="N120" i="30"/>
  <c r="V120" i="30"/>
  <c r="U117" i="30"/>
  <c r="P119" i="30"/>
  <c r="O120" i="30"/>
  <c r="W120" i="30"/>
  <c r="P120" i="30"/>
  <c r="D11" i="30"/>
  <c r="AT152" i="30"/>
  <c r="D15" i="30"/>
  <c r="L112" i="30"/>
  <c r="T112" i="30"/>
  <c r="AB112" i="30"/>
  <c r="AJ112" i="30"/>
  <c r="AR112" i="30"/>
  <c r="AR146" i="30" s="1"/>
  <c r="AZ112" i="30"/>
  <c r="BH112" i="30"/>
  <c r="BH146" i="30" s="1"/>
  <c r="D17" i="30"/>
  <c r="M112" i="30"/>
  <c r="U112" i="30"/>
  <c r="AC112" i="30"/>
  <c r="AK112" i="30"/>
  <c r="AS112" i="30"/>
  <c r="AS146" i="30" s="1"/>
  <c r="BA112" i="30"/>
  <c r="BA146" i="30" s="1"/>
  <c r="AU152" i="30"/>
  <c r="N112" i="30"/>
  <c r="V112" i="30"/>
  <c r="AD112" i="30"/>
  <c r="AL112" i="30"/>
  <c r="AT112" i="30"/>
  <c r="AT146" i="30" s="1"/>
  <c r="BB112" i="30"/>
  <c r="BB145" i="30" s="1"/>
  <c r="AY152" i="30"/>
  <c r="O112" i="30"/>
  <c r="W112" i="30"/>
  <c r="AE112" i="30"/>
  <c r="AM112" i="30"/>
  <c r="AU112" i="30"/>
  <c r="AU146" i="30" s="1"/>
  <c r="BC112" i="30"/>
  <c r="BC146" i="30" s="1"/>
  <c r="C84" i="30"/>
  <c r="BA152" i="30"/>
  <c r="P112" i="30"/>
  <c r="X112" i="30"/>
  <c r="AF112" i="30"/>
  <c r="AN112" i="30"/>
  <c r="AV112" i="30"/>
  <c r="AV146" i="30" s="1"/>
  <c r="BD112" i="30"/>
  <c r="BD146" i="30" s="1"/>
  <c r="C92" i="30"/>
  <c r="BB152" i="30"/>
  <c r="D13" i="30"/>
  <c r="D9" i="30"/>
  <c r="Q112" i="30"/>
  <c r="Y112" i="30"/>
  <c r="AG112" i="30"/>
  <c r="AO112" i="30"/>
  <c r="AO146" i="30" s="1"/>
  <c r="AW112" i="30"/>
  <c r="AW146" i="30" s="1"/>
  <c r="BE112" i="30"/>
  <c r="BE146" i="30" s="1"/>
  <c r="BC152" i="30"/>
  <c r="AF117" i="30"/>
  <c r="F8" i="30"/>
  <c r="R112" i="30"/>
  <c r="Z112" i="30"/>
  <c r="AH112" i="30"/>
  <c r="AP112" i="30"/>
  <c r="AP146" i="30" s="1"/>
  <c r="AX112" i="30"/>
  <c r="AX146" i="30" s="1"/>
  <c r="BF112" i="30"/>
  <c r="BF146" i="30" s="1"/>
  <c r="AQ152" i="30"/>
  <c r="BG152" i="30"/>
  <c r="S112" i="30"/>
  <c r="AA112" i="30"/>
  <c r="AI112" i="30"/>
  <c r="AQ112" i="30"/>
  <c r="AY112" i="30"/>
  <c r="AY146" i="30" s="1"/>
  <c r="BG112" i="30"/>
  <c r="BG146" i="30" s="1"/>
  <c r="AS152" i="30"/>
  <c r="S117" i="30"/>
  <c r="AC128" i="30"/>
  <c r="AC144" i="30" s="1"/>
  <c r="AP128" i="30"/>
  <c r="AP144" i="30" s="1"/>
  <c r="AX128" i="30"/>
  <c r="AX144" i="30" s="1"/>
  <c r="BF128" i="30"/>
  <c r="BF144" i="30" s="1"/>
  <c r="AR128" i="30"/>
  <c r="AR144" i="30" s="1"/>
  <c r="AZ128" i="30"/>
  <c r="AZ144" i="30" s="1"/>
  <c r="BH128" i="30"/>
  <c r="BH144" i="30" s="1"/>
  <c r="BA128" i="30"/>
  <c r="BA144" i="30" s="1"/>
  <c r="AV128" i="30"/>
  <c r="AV144" i="30" s="1"/>
  <c r="BD128" i="30"/>
  <c r="BD144" i="30" s="1"/>
  <c r="K117" i="30"/>
  <c r="AS128" i="30"/>
  <c r="AS144" i="30" s="1"/>
  <c r="BH145" i="30"/>
  <c r="BC145" i="30"/>
  <c r="AV152" i="30"/>
  <c r="BD152" i="30"/>
  <c r="AO152" i="30"/>
  <c r="AW152" i="30"/>
  <c r="BE152" i="30"/>
  <c r="AP152" i="30"/>
  <c r="AX152" i="30"/>
  <c r="BF152" i="30"/>
  <c r="AR152" i="30"/>
  <c r="AZ152" i="30"/>
  <c r="J168" i="30"/>
  <c r="J164" i="30"/>
  <c r="P24" i="30"/>
  <c r="X24" i="30"/>
  <c r="AF24" i="30"/>
  <c r="AN24" i="30"/>
  <c r="C86" i="30"/>
  <c r="C94" i="30"/>
  <c r="C102" i="30"/>
  <c r="C110" i="30"/>
  <c r="Q24" i="30"/>
  <c r="Y24" i="30"/>
  <c r="AG24" i="30"/>
  <c r="C89" i="30"/>
  <c r="C97" i="30"/>
  <c r="C105" i="30"/>
  <c r="L117" i="30"/>
  <c r="V117" i="30"/>
  <c r="AH117" i="30"/>
  <c r="AH128" i="30" s="1"/>
  <c r="AH144" i="30" s="1"/>
  <c r="AQ128" i="30"/>
  <c r="AQ144" i="30" s="1"/>
  <c r="AY128" i="30"/>
  <c r="AY144" i="30" s="1"/>
  <c r="BG128" i="30"/>
  <c r="BG144" i="30" s="1"/>
  <c r="R119" i="30"/>
  <c r="AE119" i="30"/>
  <c r="C100" i="30"/>
  <c r="C108" i="30"/>
  <c r="M117" i="30"/>
  <c r="X117" i="30"/>
  <c r="AI117" i="30"/>
  <c r="Z24" i="30"/>
  <c r="K24" i="30"/>
  <c r="S24" i="30"/>
  <c r="AA24" i="30"/>
  <c r="AI24" i="30"/>
  <c r="C87" i="30"/>
  <c r="C95" i="30"/>
  <c r="C103" i="30"/>
  <c r="C111" i="30"/>
  <c r="N117" i="30"/>
  <c r="Z117" i="30"/>
  <c r="AJ117" i="30"/>
  <c r="AM118" i="30"/>
  <c r="AE118" i="30"/>
  <c r="AL118" i="30"/>
  <c r="AD118" i="30"/>
  <c r="V118" i="30"/>
  <c r="N118" i="30"/>
  <c r="AJ118" i="30"/>
  <c r="AB118" i="30"/>
  <c r="T118" i="30"/>
  <c r="L118" i="30"/>
  <c r="U118" i="30"/>
  <c r="AG118" i="30"/>
  <c r="V119" i="30"/>
  <c r="AH24" i="30"/>
  <c r="D10" i="30"/>
  <c r="D14" i="30"/>
  <c r="L24" i="30"/>
  <c r="T24" i="30"/>
  <c r="AB24" i="30"/>
  <c r="AJ24" i="30"/>
  <c r="C82" i="30"/>
  <c r="C90" i="30"/>
  <c r="C98" i="30"/>
  <c r="C106" i="30"/>
  <c r="P117" i="30"/>
  <c r="AA117" i="30"/>
  <c r="AK117" i="30"/>
  <c r="AT128" i="30"/>
  <c r="AT144" i="30" s="1"/>
  <c r="BB128" i="30"/>
  <c r="BB144" i="30" s="1"/>
  <c r="AJ119" i="30"/>
  <c r="AB119" i="30"/>
  <c r="T119" i="30"/>
  <c r="L119" i="30"/>
  <c r="AI119" i="30"/>
  <c r="AA119" i="30"/>
  <c r="S119" i="30"/>
  <c r="K119" i="30"/>
  <c r="AG119" i="30"/>
  <c r="Y119" i="30"/>
  <c r="Q119" i="30"/>
  <c r="W119" i="30"/>
  <c r="AK119" i="30"/>
  <c r="C85" i="30"/>
  <c r="C93" i="30"/>
  <c r="C101" i="30"/>
  <c r="C109" i="30"/>
  <c r="R117" i="30"/>
  <c r="AB117" i="30"/>
  <c r="AU128" i="30"/>
  <c r="AU144" i="30" s="1"/>
  <c r="BC128" i="30"/>
  <c r="BC144" i="30" s="1"/>
  <c r="M119" i="30"/>
  <c r="X119" i="30"/>
  <c r="AL119" i="30"/>
  <c r="M24" i="30"/>
  <c r="AC24" i="30"/>
  <c r="N24" i="30"/>
  <c r="V24" i="30"/>
  <c r="AL24" i="30"/>
  <c r="C88" i="30"/>
  <c r="C96" i="30"/>
  <c r="C104" i="30"/>
  <c r="U24" i="30"/>
  <c r="AK24" i="30"/>
  <c r="D8" i="30"/>
  <c r="AD24" i="30"/>
  <c r="D12" i="30"/>
  <c r="D16" i="30"/>
  <c r="O24" i="30"/>
  <c r="W24" i="30"/>
  <c r="AE24" i="30"/>
  <c r="C83" i="30"/>
  <c r="C91" i="30"/>
  <c r="C99" i="30"/>
  <c r="C107" i="30"/>
  <c r="AG117" i="30"/>
  <c r="Y117" i="30"/>
  <c r="Q117" i="30"/>
  <c r="AM117" i="30"/>
  <c r="AE117" i="30"/>
  <c r="W117" i="30"/>
  <c r="O117" i="30"/>
  <c r="T117" i="30"/>
  <c r="AD117" i="30"/>
  <c r="AO128" i="30"/>
  <c r="AO144" i="30" s="1"/>
  <c r="AW128" i="30"/>
  <c r="AW144" i="30" s="1"/>
  <c r="BE128" i="30"/>
  <c r="BE144" i="30" s="1"/>
  <c r="E165" i="30"/>
  <c r="J165" i="30" s="1"/>
  <c r="E167" i="30"/>
  <c r="J167" i="30" s="1"/>
  <c r="E166" i="30"/>
  <c r="J166" i="30" s="1"/>
  <c r="AQ146" i="30" l="1"/>
  <c r="AQ158" i="30" s="1"/>
  <c r="AQ159" i="30" s="1"/>
  <c r="BB146" i="30"/>
  <c r="BD145" i="30"/>
  <c r="AT145" i="30"/>
  <c r="AO145" i="30"/>
  <c r="AZ146" i="30"/>
  <c r="AO158" i="30"/>
  <c r="AO159" i="30" s="1"/>
  <c r="AV158" i="30"/>
  <c r="AV159" i="30" s="1"/>
  <c r="AW158" i="30"/>
  <c r="AW159" i="30" s="1"/>
  <c r="AU158" i="30"/>
  <c r="AU159" i="30" s="1"/>
  <c r="BB158" i="30"/>
  <c r="BB159" i="30" s="1"/>
  <c r="BG158" i="30"/>
  <c r="BG159" i="30" s="1"/>
  <c r="BD158" i="30"/>
  <c r="BD159" i="30" s="1"/>
  <c r="AZ158" i="30"/>
  <c r="AZ159" i="30" s="1"/>
  <c r="AP158" i="30"/>
  <c r="AP159" i="30" s="1"/>
  <c r="AY158" i="30"/>
  <c r="AY159" i="30" s="1"/>
  <c r="AR158" i="30"/>
  <c r="AR159" i="30" s="1"/>
  <c r="AS158" i="30"/>
  <c r="AS159" i="30" s="1"/>
  <c r="BA158" i="30"/>
  <c r="BA159" i="30" s="1"/>
  <c r="BF158" i="30"/>
  <c r="BF159" i="30" s="1"/>
  <c r="AT158" i="30"/>
  <c r="AT159" i="30" s="1"/>
  <c r="BE158" i="30"/>
  <c r="BE159" i="30" s="1"/>
  <c r="BC158" i="30"/>
  <c r="BC159" i="30" s="1"/>
  <c r="K128" i="30"/>
  <c r="K144" i="30" s="1"/>
  <c r="BH158" i="30"/>
  <c r="BH159" i="30" s="1"/>
  <c r="AX158" i="30"/>
  <c r="AX159" i="30" s="1"/>
  <c r="AF128" i="30"/>
  <c r="AF144" i="30" s="1"/>
  <c r="AU145" i="30"/>
  <c r="AU147" i="30" s="1"/>
  <c r="AU164" i="30" s="1"/>
  <c r="AY145" i="30"/>
  <c r="AV145" i="30"/>
  <c r="AV147" i="30" s="1"/>
  <c r="AV166" i="30" s="1"/>
  <c r="S128" i="30"/>
  <c r="S144" i="30" s="1"/>
  <c r="O128" i="30"/>
  <c r="O144" i="30" s="1"/>
  <c r="P128" i="30"/>
  <c r="P144" i="30" s="1"/>
  <c r="Z128" i="30"/>
  <c r="Z144" i="30" s="1"/>
  <c r="AN128" i="30"/>
  <c r="AN144" i="30" s="1"/>
  <c r="U128" i="30"/>
  <c r="U144" i="30" s="1"/>
  <c r="AZ145" i="30"/>
  <c r="AZ147" i="30" s="1"/>
  <c r="AZ151" i="30" s="1"/>
  <c r="BF145" i="30"/>
  <c r="BF147" i="30" s="1"/>
  <c r="BF167" i="30" s="1"/>
  <c r="AS145" i="30"/>
  <c r="AS147" i="30" s="1"/>
  <c r="AS166" i="30" s="1"/>
  <c r="AR145" i="30"/>
  <c r="AR147" i="30" s="1"/>
  <c r="AR168" i="30" s="1"/>
  <c r="T128" i="30"/>
  <c r="T144" i="30" s="1"/>
  <c r="BG145" i="30"/>
  <c r="BG147" i="30" s="1"/>
  <c r="BG165" i="30" s="1"/>
  <c r="AQ145" i="30"/>
  <c r="AQ147" i="30" s="1"/>
  <c r="AQ168" i="30" s="1"/>
  <c r="BE145" i="30"/>
  <c r="BE147" i="30" s="1"/>
  <c r="BE151" i="30" s="1"/>
  <c r="AX145" i="30"/>
  <c r="AX147" i="30" s="1"/>
  <c r="AX164" i="30" s="1"/>
  <c r="AW145" i="30"/>
  <c r="AW147" i="30" s="1"/>
  <c r="AP145" i="30"/>
  <c r="AP147" i="30" s="1"/>
  <c r="AP164" i="30" s="1"/>
  <c r="BA145" i="30"/>
  <c r="BA147" i="30" s="1"/>
  <c r="BA151" i="30" s="1"/>
  <c r="AO147" i="30"/>
  <c r="AO166" i="30" s="1"/>
  <c r="BC147" i="30"/>
  <c r="BC164" i="30" s="1"/>
  <c r="W128" i="30"/>
  <c r="W144" i="30" s="1"/>
  <c r="BH147" i="30"/>
  <c r="BH151" i="30" s="1"/>
  <c r="AK128" i="30"/>
  <c r="AK144" i="30" s="1"/>
  <c r="R128" i="30"/>
  <c r="R144" i="30" s="1"/>
  <c r="AM128" i="30"/>
  <c r="AM144" i="30" s="1"/>
  <c r="Q128" i="30"/>
  <c r="Q144" i="30" s="1"/>
  <c r="BD147" i="30"/>
  <c r="BD168" i="30" s="1"/>
  <c r="AD128" i="30"/>
  <c r="AD144" i="30" s="1"/>
  <c r="AL128" i="30"/>
  <c r="AL144" i="30" s="1"/>
  <c r="X128" i="30"/>
  <c r="X144" i="30" s="1"/>
  <c r="V128" i="30"/>
  <c r="V144" i="30" s="1"/>
  <c r="BB147" i="30"/>
  <c r="BB165" i="30" s="1"/>
  <c r="AT147" i="30"/>
  <c r="AT164" i="30" s="1"/>
  <c r="AE128" i="30"/>
  <c r="AE144" i="30" s="1"/>
  <c r="AB128" i="30"/>
  <c r="AB144" i="30" s="1"/>
  <c r="AJ128" i="30"/>
  <c r="AJ144" i="30" s="1"/>
  <c r="L128" i="30"/>
  <c r="L144" i="30" s="1"/>
  <c r="Y128" i="30"/>
  <c r="Y144" i="30" s="1"/>
  <c r="N128" i="30"/>
  <c r="N144" i="30" s="1"/>
  <c r="AG128" i="30"/>
  <c r="AG144" i="30" s="1"/>
  <c r="AI128" i="30"/>
  <c r="AI144" i="30" s="1"/>
  <c r="AY147" i="30"/>
  <c r="AA128" i="30"/>
  <c r="AA144" i="30" s="1"/>
  <c r="M128" i="30"/>
  <c r="M144" i="30" s="1"/>
  <c r="AV167" i="30" l="1"/>
  <c r="AV165" i="30"/>
  <c r="AV151" i="30"/>
  <c r="AV164" i="30"/>
  <c r="AV168" i="30"/>
  <c r="AP166" i="30"/>
  <c r="AP167" i="30"/>
  <c r="AP168" i="30"/>
  <c r="AX168" i="30"/>
  <c r="AX151" i="30"/>
  <c r="AW167" i="30"/>
  <c r="AW151" i="30"/>
  <c r="AP151" i="30"/>
  <c r="AP165" i="30"/>
  <c r="AX166" i="30"/>
  <c r="AW168" i="30"/>
  <c r="AW164" i="30"/>
  <c r="AW166" i="30"/>
  <c r="AW165" i="30"/>
  <c r="AX165" i="30"/>
  <c r="AX167" i="30"/>
  <c r="AR165" i="30"/>
  <c r="AO167" i="30"/>
  <c r="AO151" i="30"/>
  <c r="BE168" i="30"/>
  <c r="BE166" i="30"/>
  <c r="AO168" i="30"/>
  <c r="AO165" i="30"/>
  <c r="AO164" i="30"/>
  <c r="BH164" i="30"/>
  <c r="BC166" i="30"/>
  <c r="BC168" i="30"/>
  <c r="BC167" i="30"/>
  <c r="BE165" i="30"/>
  <c r="BH168" i="30"/>
  <c r="BH165" i="30"/>
  <c r="BH167" i="30"/>
  <c r="BC151" i="30"/>
  <c r="AS164" i="30"/>
  <c r="BE167" i="30"/>
  <c r="BA164" i="30"/>
  <c r="AR151" i="30"/>
  <c r="BC165" i="30"/>
  <c r="BE164" i="30"/>
  <c r="BH166" i="30"/>
  <c r="BA166" i="30"/>
  <c r="AR167" i="30"/>
  <c r="AR164" i="30"/>
  <c r="AR166" i="30"/>
  <c r="AZ166" i="30"/>
  <c r="BF164" i="30"/>
  <c r="BA168" i="30"/>
  <c r="BD167" i="30"/>
  <c r="BA165" i="30"/>
  <c r="BD151" i="30"/>
  <c r="BF151" i="30"/>
  <c r="BD165" i="30"/>
  <c r="BD166" i="30"/>
  <c r="BF166" i="30"/>
  <c r="BA167" i="30"/>
  <c r="BD164" i="30"/>
  <c r="BF165" i="30"/>
  <c r="AZ164" i="30"/>
  <c r="AS168" i="30"/>
  <c r="AS165" i="30"/>
  <c r="AZ165" i="30"/>
  <c r="AZ167" i="30"/>
  <c r="BF168" i="30"/>
  <c r="AZ168" i="30"/>
  <c r="AS167" i="30"/>
  <c r="AS151" i="30"/>
  <c r="BB151" i="30"/>
  <c r="BB167" i="30"/>
  <c r="AU165" i="30"/>
  <c r="BB164" i="30"/>
  <c r="AU168" i="30"/>
  <c r="BB168" i="30"/>
  <c r="BG168" i="30"/>
  <c r="AU151" i="30"/>
  <c r="AU166" i="30"/>
  <c r="BB166" i="30"/>
  <c r="AU167" i="30"/>
  <c r="BG151" i="30"/>
  <c r="BG166" i="30"/>
  <c r="AT166" i="30"/>
  <c r="AT168" i="30"/>
  <c r="BG164" i="30"/>
  <c r="BG167" i="30"/>
  <c r="AT165" i="30"/>
  <c r="AT167" i="30"/>
  <c r="AT151" i="30"/>
  <c r="AQ165" i="30"/>
  <c r="AQ166" i="30"/>
  <c r="AQ164" i="30"/>
  <c r="AQ151" i="30"/>
  <c r="AQ167" i="30"/>
  <c r="AY168" i="30"/>
  <c r="AY166" i="30"/>
  <c r="AY151" i="30"/>
  <c r="AY167" i="30"/>
  <c r="AY165" i="30"/>
  <c r="AY164" i="30"/>
  <c r="C9" i="23" l="1"/>
  <c r="D110" i="29"/>
  <c r="E110" i="29"/>
  <c r="F110" i="29"/>
  <c r="G110" i="29"/>
  <c r="H110" i="29"/>
  <c r="I110" i="29"/>
  <c r="J110" i="29"/>
  <c r="K110" i="29"/>
  <c r="D111" i="29"/>
  <c r="E111" i="29"/>
  <c r="F111" i="29"/>
  <c r="G111" i="29"/>
  <c r="H111" i="29"/>
  <c r="I111" i="29"/>
  <c r="J111" i="29"/>
  <c r="K111" i="29"/>
  <c r="D112" i="29"/>
  <c r="E112" i="29"/>
  <c r="F112" i="29"/>
  <c r="G112" i="29"/>
  <c r="H112" i="29"/>
  <c r="I112" i="29"/>
  <c r="J112" i="29"/>
  <c r="K112" i="29"/>
  <c r="D113" i="29"/>
  <c r="E113" i="29"/>
  <c r="F113" i="29"/>
  <c r="G113" i="29"/>
  <c r="H113" i="29"/>
  <c r="I113" i="29"/>
  <c r="J113" i="29"/>
  <c r="K113" i="29"/>
  <c r="D114" i="29"/>
  <c r="E114" i="29"/>
  <c r="F114" i="29"/>
  <c r="G114" i="29"/>
  <c r="H114" i="29"/>
  <c r="I114" i="29"/>
  <c r="J114" i="29"/>
  <c r="K114" i="29"/>
  <c r="D115" i="29"/>
  <c r="E115" i="29"/>
  <c r="F115" i="29"/>
  <c r="G115" i="29"/>
  <c r="H115" i="29"/>
  <c r="I115" i="29"/>
  <c r="J115" i="29"/>
  <c r="K115" i="29"/>
  <c r="D116" i="29"/>
  <c r="E116" i="29"/>
  <c r="F116" i="29"/>
  <c r="G116" i="29"/>
  <c r="H116" i="29"/>
  <c r="I116" i="29"/>
  <c r="J116" i="29"/>
  <c r="K116" i="29"/>
  <c r="D117" i="29"/>
  <c r="E117" i="29"/>
  <c r="F117" i="29"/>
  <c r="G117" i="29"/>
  <c r="H117" i="29"/>
  <c r="I117" i="29"/>
  <c r="J117" i="29"/>
  <c r="K117" i="29"/>
  <c r="D118" i="29"/>
  <c r="E118" i="29"/>
  <c r="F118" i="29"/>
  <c r="G118" i="29"/>
  <c r="H118" i="29"/>
  <c r="I118" i="29"/>
  <c r="J118" i="29"/>
  <c r="K118" i="29"/>
  <c r="D119" i="29"/>
  <c r="E119" i="29"/>
  <c r="F119" i="29"/>
  <c r="G119" i="29"/>
  <c r="H119" i="29"/>
  <c r="I119" i="29"/>
  <c r="J119" i="29"/>
  <c r="K119" i="29"/>
  <c r="D120" i="29"/>
  <c r="E120" i="29"/>
  <c r="F120" i="29"/>
  <c r="G120" i="29"/>
  <c r="H120" i="29"/>
  <c r="I120" i="29"/>
  <c r="J120" i="29"/>
  <c r="K120" i="29"/>
  <c r="D121" i="29"/>
  <c r="E121" i="29"/>
  <c r="F121" i="29"/>
  <c r="G121" i="29"/>
  <c r="H121" i="29"/>
  <c r="I121" i="29"/>
  <c r="J121" i="29"/>
  <c r="K121" i="29"/>
  <c r="D122" i="29"/>
  <c r="E122" i="29"/>
  <c r="F122" i="29"/>
  <c r="G122" i="29"/>
  <c r="H122" i="29"/>
  <c r="I122" i="29"/>
  <c r="J122" i="29"/>
  <c r="K122" i="29"/>
  <c r="D123" i="29"/>
  <c r="E123" i="29"/>
  <c r="F123" i="29"/>
  <c r="G123" i="29"/>
  <c r="H123" i="29"/>
  <c r="I123" i="29"/>
  <c r="J123" i="29"/>
  <c r="K123" i="29"/>
  <c r="K109" i="29"/>
  <c r="J109" i="29"/>
  <c r="I109" i="29"/>
  <c r="H109" i="29"/>
  <c r="G109" i="29"/>
  <c r="F109" i="29"/>
  <c r="E109" i="29"/>
  <c r="D109" i="29"/>
  <c r="C110" i="29"/>
  <c r="C111" i="29"/>
  <c r="C112" i="29"/>
  <c r="C113" i="29"/>
  <c r="C114" i="29"/>
  <c r="C115" i="29"/>
  <c r="C116" i="29"/>
  <c r="C117" i="29"/>
  <c r="C118" i="29"/>
  <c r="C119" i="29"/>
  <c r="C120" i="29"/>
  <c r="C121" i="29"/>
  <c r="C122" i="29"/>
  <c r="C123" i="29"/>
  <c r="C109" i="29"/>
  <c r="B110" i="29"/>
  <c r="B111" i="29"/>
  <c r="B112" i="29"/>
  <c r="B113" i="29"/>
  <c r="B114" i="29"/>
  <c r="B115" i="29"/>
  <c r="B116" i="29"/>
  <c r="B117" i="29"/>
  <c r="B118" i="29"/>
  <c r="B119" i="29"/>
  <c r="B120" i="29"/>
  <c r="B121" i="29"/>
  <c r="B122" i="29"/>
  <c r="B123" i="29"/>
  <c r="B109" i="29"/>
  <c r="I17" i="23"/>
  <c r="L5" i="29" s="1"/>
  <c r="J17" i="23"/>
  <c r="K17" i="23"/>
  <c r="J5" i="29" s="1"/>
  <c r="L17" i="23"/>
  <c r="M17" i="23"/>
  <c r="N17" i="23"/>
  <c r="K5" i="29" s="1"/>
  <c r="O17" i="23"/>
  <c r="P17" i="23"/>
  <c r="Q17" i="23"/>
  <c r="R17" i="23"/>
  <c r="S17" i="23"/>
  <c r="T17" i="23"/>
  <c r="I18" i="23"/>
  <c r="L6" i="29" s="1"/>
  <c r="J18" i="23"/>
  <c r="K18" i="23"/>
  <c r="J6" i="29" s="1"/>
  <c r="L18" i="23"/>
  <c r="M18" i="23"/>
  <c r="N18" i="23"/>
  <c r="K6" i="29" s="1"/>
  <c r="O18" i="23"/>
  <c r="P18" i="23"/>
  <c r="Q18" i="23"/>
  <c r="R18" i="23"/>
  <c r="S18" i="23"/>
  <c r="T18" i="23"/>
  <c r="I19" i="23"/>
  <c r="L7" i="29" s="1"/>
  <c r="J19" i="23"/>
  <c r="K19" i="23"/>
  <c r="J7" i="29" s="1"/>
  <c r="L19" i="23"/>
  <c r="M19" i="23"/>
  <c r="N19" i="23"/>
  <c r="K7" i="29" s="1"/>
  <c r="O19" i="23"/>
  <c r="P19" i="23"/>
  <c r="Q19" i="23"/>
  <c r="R19" i="23"/>
  <c r="S19" i="23"/>
  <c r="T19" i="23"/>
  <c r="I20" i="23"/>
  <c r="L8" i="29" s="1"/>
  <c r="J20" i="23"/>
  <c r="K20" i="23"/>
  <c r="J8" i="29" s="1"/>
  <c r="L20" i="23"/>
  <c r="M20" i="23"/>
  <c r="N20" i="23"/>
  <c r="K8" i="29" s="1"/>
  <c r="O20" i="23"/>
  <c r="P20" i="23"/>
  <c r="Q20" i="23"/>
  <c r="R20" i="23"/>
  <c r="S20" i="23"/>
  <c r="T20" i="23"/>
  <c r="I21" i="23"/>
  <c r="L9" i="29" s="1"/>
  <c r="J21" i="23"/>
  <c r="K21" i="23"/>
  <c r="J9" i="29" s="1"/>
  <c r="L21" i="23"/>
  <c r="M21" i="23"/>
  <c r="N21" i="23"/>
  <c r="K9" i="29" s="1"/>
  <c r="O21" i="23"/>
  <c r="P21" i="23"/>
  <c r="Q21" i="23"/>
  <c r="R21" i="23"/>
  <c r="S21" i="23"/>
  <c r="T21" i="23"/>
  <c r="I22" i="23"/>
  <c r="L10" i="29" s="1"/>
  <c r="J22" i="23"/>
  <c r="K22" i="23"/>
  <c r="J10" i="29" s="1"/>
  <c r="L22" i="23"/>
  <c r="M22" i="23"/>
  <c r="N22" i="23"/>
  <c r="K10" i="29" s="1"/>
  <c r="O22" i="23"/>
  <c r="P22" i="23"/>
  <c r="Q22" i="23"/>
  <c r="R22" i="23"/>
  <c r="S22" i="23"/>
  <c r="T22" i="23"/>
  <c r="I23" i="23"/>
  <c r="L11" i="29" s="1"/>
  <c r="J23" i="23"/>
  <c r="K23" i="23"/>
  <c r="J11" i="29" s="1"/>
  <c r="L23" i="23"/>
  <c r="M23" i="23"/>
  <c r="N23" i="23"/>
  <c r="K11" i="29" s="1"/>
  <c r="O23" i="23"/>
  <c r="P23" i="23"/>
  <c r="Q23" i="23"/>
  <c r="R23" i="23"/>
  <c r="S23" i="23"/>
  <c r="T23" i="23"/>
  <c r="I24" i="23"/>
  <c r="L12" i="29" s="1"/>
  <c r="J24" i="23"/>
  <c r="K24" i="23"/>
  <c r="J12" i="29" s="1"/>
  <c r="L24" i="23"/>
  <c r="M24" i="23"/>
  <c r="N24" i="23"/>
  <c r="K12" i="29" s="1"/>
  <c r="O24" i="23"/>
  <c r="P24" i="23"/>
  <c r="Q24" i="23"/>
  <c r="R24" i="23"/>
  <c r="S24" i="23"/>
  <c r="T24" i="23"/>
  <c r="I25" i="23"/>
  <c r="L13" i="29" s="1"/>
  <c r="J25" i="23"/>
  <c r="K25" i="23"/>
  <c r="J13" i="29" s="1"/>
  <c r="L25" i="23"/>
  <c r="M25" i="23"/>
  <c r="N25" i="23"/>
  <c r="K13" i="29" s="1"/>
  <c r="O25" i="23"/>
  <c r="P25" i="23"/>
  <c r="Q25" i="23"/>
  <c r="R25" i="23"/>
  <c r="S25" i="23"/>
  <c r="T25" i="23"/>
  <c r="I26" i="23"/>
  <c r="J26" i="23"/>
  <c r="K26" i="23"/>
  <c r="L26" i="23"/>
  <c r="M26" i="23"/>
  <c r="N26" i="23"/>
  <c r="O26" i="23"/>
  <c r="P26" i="23"/>
  <c r="Q26" i="23"/>
  <c r="R26" i="23"/>
  <c r="S26" i="23"/>
  <c r="T26" i="23"/>
  <c r="I27" i="23"/>
  <c r="J27" i="23"/>
  <c r="K27" i="23"/>
  <c r="L27" i="23"/>
  <c r="M27" i="23"/>
  <c r="N27" i="23"/>
  <c r="O27" i="23"/>
  <c r="P27" i="23"/>
  <c r="Q27" i="23"/>
  <c r="R27" i="23"/>
  <c r="S27" i="23"/>
  <c r="T27" i="23"/>
  <c r="T16" i="23"/>
  <c r="S16" i="23"/>
  <c r="R16" i="23"/>
  <c r="Q16" i="23"/>
  <c r="P16" i="23"/>
  <c r="O16" i="23"/>
  <c r="N16" i="23"/>
  <c r="K4" i="29" s="1"/>
  <c r="M16" i="23"/>
  <c r="L16" i="23"/>
  <c r="K16" i="23"/>
  <c r="J4" i="29" s="1"/>
  <c r="K124" i="29"/>
  <c r="J124" i="29"/>
  <c r="F124" i="29"/>
  <c r="C124" i="29"/>
  <c r="B23" i="29"/>
  <c r="C23" i="30"/>
  <c r="G18" i="29"/>
  <c r="F5" i="29"/>
  <c r="F6" i="29"/>
  <c r="F7" i="29"/>
  <c r="F8" i="29"/>
  <c r="F9" i="29"/>
  <c r="F10" i="29"/>
  <c r="F11" i="29"/>
  <c r="F12" i="29"/>
  <c r="F13" i="29"/>
  <c r="F4" i="29"/>
  <c r="E5" i="29"/>
  <c r="E6" i="29"/>
  <c r="E7" i="29"/>
  <c r="E8" i="29"/>
  <c r="E9" i="29"/>
  <c r="E10" i="29"/>
  <c r="E11" i="29"/>
  <c r="E12" i="29"/>
  <c r="E13" i="29"/>
  <c r="E4" i="29"/>
  <c r="B9" i="29"/>
  <c r="B10" i="29"/>
  <c r="H6" i="29" s="1"/>
  <c r="B11" i="29"/>
  <c r="H7" i="29" s="1"/>
  <c r="B12" i="29"/>
  <c r="H8" i="29" s="1"/>
  <c r="B13" i="29"/>
  <c r="H9" i="29" s="1"/>
  <c r="B14" i="29"/>
  <c r="H10" i="29" s="1"/>
  <c r="B15" i="29"/>
  <c r="H11" i="29" s="1"/>
  <c r="B16" i="29"/>
  <c r="H12" i="29" s="1"/>
  <c r="B17" i="29"/>
  <c r="H13" i="29" s="1"/>
  <c r="B8" i="29"/>
  <c r="H4" i="29" s="1"/>
  <c r="A9" i="29"/>
  <c r="A10" i="29"/>
  <c r="A11" i="29"/>
  <c r="A12" i="29"/>
  <c r="A13" i="29"/>
  <c r="A14" i="29"/>
  <c r="A15" i="29"/>
  <c r="A16" i="29"/>
  <c r="A17" i="29"/>
  <c r="A8" i="29"/>
  <c r="J16" i="23"/>
  <c r="I16" i="23"/>
  <c r="L4" i="29" s="1"/>
  <c r="C4" i="23"/>
  <c r="H16" i="23"/>
  <c r="C11" i="23" s="1"/>
  <c r="C3" i="23"/>
  <c r="D126" i="29"/>
  <c r="L98" i="29"/>
  <c r="L96" i="29"/>
  <c r="L89" i="29"/>
  <c r="L87" i="29"/>
  <c r="A85" i="29"/>
  <c r="A94" i="29" s="1"/>
  <c r="A84" i="29"/>
  <c r="A93" i="29" s="1"/>
  <c r="A102" i="29" s="1"/>
  <c r="A83" i="29"/>
  <c r="A92" i="29" s="1"/>
  <c r="A101" i="29" s="1"/>
  <c r="A82" i="29"/>
  <c r="A91" i="29" s="1"/>
  <c r="A100" i="29" s="1"/>
  <c r="A81" i="29"/>
  <c r="A90" i="29" s="1"/>
  <c r="A99" i="29" s="1"/>
  <c r="L80" i="29"/>
  <c r="A80" i="29"/>
  <c r="A89" i="29" s="1"/>
  <c r="A98" i="29" s="1"/>
  <c r="A79" i="29"/>
  <c r="A88" i="29" s="1"/>
  <c r="A97" i="29" s="1"/>
  <c r="L78" i="29"/>
  <c r="L69" i="29"/>
  <c r="L60" i="29"/>
  <c r="L59" i="29"/>
  <c r="L51" i="29"/>
  <c r="L42" i="29"/>
  <c r="L35" i="29"/>
  <c r="L27" i="29"/>
  <c r="O30" i="29"/>
  <c r="V40" i="29"/>
  <c r="AV11" i="29"/>
  <c r="AU11" i="29"/>
  <c r="AT11" i="29"/>
  <c r="AS11" i="29"/>
  <c r="AR11" i="29"/>
  <c r="AQ11" i="29"/>
  <c r="AP11" i="29"/>
  <c r="AO11" i="29"/>
  <c r="AN11" i="29"/>
  <c r="AM11" i="29"/>
  <c r="AJ11" i="29"/>
  <c r="BA12" i="29" s="1"/>
  <c r="AI11" i="29"/>
  <c r="BA6" i="29" s="1"/>
  <c r="AH11" i="29"/>
  <c r="AG11" i="29"/>
  <c r="AF11" i="29"/>
  <c r="AE11" i="29"/>
  <c r="AZ12" i="29" s="1"/>
  <c r="AD11" i="29"/>
  <c r="AZ6" i="29" s="1"/>
  <c r="AC11" i="29"/>
  <c r="AB11" i="29"/>
  <c r="AA11" i="29"/>
  <c r="AU8" i="29"/>
  <c r="AT8" i="29"/>
  <c r="AS8" i="29"/>
  <c r="AR8" i="29"/>
  <c r="AH8" i="29"/>
  <c r="AG8" i="29"/>
  <c r="AF8" i="29"/>
  <c r="B25" i="29" l="1"/>
  <c r="C7" i="23"/>
  <c r="B38" i="29"/>
  <c r="I38" i="29" s="1"/>
  <c r="B41" i="29"/>
  <c r="C41" i="29" s="1"/>
  <c r="B36" i="29"/>
  <c r="I36" i="29" s="1"/>
  <c r="B39" i="29"/>
  <c r="E39" i="29" s="1"/>
  <c r="I124" i="29"/>
  <c r="I9" i="29"/>
  <c r="O17" i="29"/>
  <c r="I8" i="29"/>
  <c r="B40" i="29"/>
  <c r="H124" i="29"/>
  <c r="I4" i="29"/>
  <c r="I6" i="29"/>
  <c r="G124" i="29"/>
  <c r="I13" i="29"/>
  <c r="I5" i="29"/>
  <c r="I12" i="29"/>
  <c r="G17" i="29"/>
  <c r="B37" i="29"/>
  <c r="E124" i="29"/>
  <c r="C6" i="23"/>
  <c r="B124" i="29"/>
  <c r="D124" i="29"/>
  <c r="D127" i="29" s="1"/>
  <c r="B19" i="29"/>
  <c r="I11" i="29"/>
  <c r="I7" i="29"/>
  <c r="I10" i="29"/>
  <c r="H5" i="29"/>
  <c r="C5" i="23"/>
  <c r="T32" i="22"/>
  <c r="C8" i="22" s="1"/>
  <c r="G126" i="29"/>
  <c r="F126" i="29"/>
  <c r="F127" i="29" s="1"/>
  <c r="H126" i="29"/>
  <c r="I126" i="29"/>
  <c r="B126" i="29"/>
  <c r="J126" i="29"/>
  <c r="J127" i="29" s="1"/>
  <c r="C126" i="29"/>
  <c r="C127" i="29" s="1"/>
  <c r="K126" i="29"/>
  <c r="K127" i="29" s="1"/>
  <c r="E126" i="29"/>
  <c r="P17" i="29"/>
  <c r="L18" i="29"/>
  <c r="O25" i="29"/>
  <c r="L24" i="29"/>
  <c r="B127" i="29" l="1"/>
  <c r="E127" i="29"/>
  <c r="F125" i="29"/>
  <c r="H125" i="29"/>
  <c r="H127" i="29"/>
  <c r="G127" i="29"/>
  <c r="E125" i="29"/>
  <c r="C125" i="29"/>
  <c r="K125" i="29"/>
  <c r="J125" i="29"/>
  <c r="I127" i="29"/>
  <c r="G19" i="29"/>
  <c r="G20" i="29" s="1"/>
  <c r="E36" i="29"/>
  <c r="F36" i="29"/>
  <c r="K14" i="29"/>
  <c r="H36" i="29"/>
  <c r="C36" i="29"/>
  <c r="K36" i="29"/>
  <c r="G36" i="29"/>
  <c r="J36" i="29"/>
  <c r="D36" i="29"/>
  <c r="K39" i="29"/>
  <c r="E38" i="29"/>
  <c r="F38" i="29"/>
  <c r="G38" i="29"/>
  <c r="D38" i="29"/>
  <c r="K38" i="29"/>
  <c r="H38" i="29"/>
  <c r="C38" i="29"/>
  <c r="J38" i="29"/>
  <c r="C39" i="29"/>
  <c r="J39" i="29"/>
  <c r="I39" i="29"/>
  <c r="H39" i="29"/>
  <c r="H41" i="29"/>
  <c r="I41" i="29"/>
  <c r="G41" i="29"/>
  <c r="F41" i="29"/>
  <c r="E41" i="29"/>
  <c r="D41" i="29"/>
  <c r="F39" i="29"/>
  <c r="K41" i="29"/>
  <c r="J41" i="29"/>
  <c r="G39" i="29"/>
  <c r="D39" i="29"/>
  <c r="S10" i="29"/>
  <c r="V41" i="29" s="1"/>
  <c r="R10" i="29"/>
  <c r="O26" i="29" s="1"/>
  <c r="U41" i="29" s="1"/>
  <c r="G37" i="29"/>
  <c r="H37" i="29"/>
  <c r="I37" i="29"/>
  <c r="J37" i="29"/>
  <c r="C37" i="29"/>
  <c r="K37" i="29"/>
  <c r="D37" i="29"/>
  <c r="E37" i="29"/>
  <c r="F37" i="29"/>
  <c r="D40" i="29"/>
  <c r="E40" i="29"/>
  <c r="F40" i="29"/>
  <c r="G40" i="29"/>
  <c r="H40" i="29"/>
  <c r="I40" i="29"/>
  <c r="J40" i="29"/>
  <c r="C40" i="29"/>
  <c r="K40" i="29"/>
  <c r="B125" i="29"/>
  <c r="G125" i="29"/>
  <c r="E23" i="30"/>
  <c r="C33" i="24" s="1"/>
  <c r="D125" i="29"/>
  <c r="I125" i="29"/>
  <c r="L19" i="29"/>
  <c r="L17" i="29"/>
  <c r="K19" i="29"/>
  <c r="L14" i="29"/>
  <c r="K17" i="29"/>
  <c r="U40" i="29"/>
  <c r="K18" i="29"/>
  <c r="J14" i="29"/>
  <c r="AC23" i="30" l="1"/>
  <c r="N23" i="30"/>
  <c r="L36" i="29"/>
  <c r="L38" i="29"/>
  <c r="L41" i="29"/>
  <c r="L39" i="29"/>
  <c r="L40" i="29"/>
  <c r="L37" i="29"/>
  <c r="M23" i="30"/>
  <c r="V23" i="30"/>
  <c r="Q23" i="30"/>
  <c r="AG23" i="30"/>
  <c r="AD23" i="30"/>
  <c r="AI23" i="30"/>
  <c r="AM23" i="30"/>
  <c r="AA23" i="30"/>
  <c r="R23" i="30"/>
  <c r="AE23" i="30"/>
  <c r="K23" i="30"/>
  <c r="K49" i="30" s="1"/>
  <c r="AK23" i="30"/>
  <c r="P23" i="30"/>
  <c r="L23" i="30"/>
  <c r="X23" i="30"/>
  <c r="Z23" i="30"/>
  <c r="T23" i="30"/>
  <c r="AL23" i="30"/>
  <c r="AF23" i="30"/>
  <c r="AH23" i="30"/>
  <c r="AB23" i="30"/>
  <c r="O23" i="30"/>
  <c r="AN23" i="30"/>
  <c r="U23" i="30"/>
  <c r="AJ23" i="30"/>
  <c r="W23" i="30"/>
  <c r="Y23" i="30"/>
  <c r="S23" i="30"/>
  <c r="L20" i="29"/>
  <c r="V39" i="29" s="1"/>
  <c r="K20" i="29"/>
  <c r="X49" i="30" l="1"/>
  <c r="X146" i="30" s="1"/>
  <c r="X158" i="30" s="1"/>
  <c r="X159" i="30" s="1"/>
  <c r="W49" i="30"/>
  <c r="W146" i="30" s="1"/>
  <c r="W158" i="30" s="1"/>
  <c r="W159" i="30" s="1"/>
  <c r="AJ49" i="30"/>
  <c r="AJ146" i="30" s="1"/>
  <c r="AJ158" i="30" s="1"/>
  <c r="AJ159" i="30" s="1"/>
  <c r="T49" i="30"/>
  <c r="T146" i="30" s="1"/>
  <c r="T158" i="30" s="1"/>
  <c r="T159" i="30" s="1"/>
  <c r="S49" i="30"/>
  <c r="S146" i="30" s="1"/>
  <c r="S158" i="30" s="1"/>
  <c r="S159" i="30" s="1"/>
  <c r="U49" i="30"/>
  <c r="U146" i="30" s="1"/>
  <c r="U158" i="30" s="1"/>
  <c r="U159" i="30" s="1"/>
  <c r="AH49" i="30"/>
  <c r="AH146" i="30" s="1"/>
  <c r="AH158" i="30" s="1"/>
  <c r="AH159" i="30" s="1"/>
  <c r="Z49" i="30"/>
  <c r="Z146" i="30" s="1"/>
  <c r="Z158" i="30" s="1"/>
  <c r="Z159" i="30" s="1"/>
  <c r="AK49" i="30"/>
  <c r="AK146" i="30" s="1"/>
  <c r="AK158" i="30" s="1"/>
  <c r="AK159" i="30" s="1"/>
  <c r="AA49" i="30"/>
  <c r="AA146" i="30" s="1"/>
  <c r="AA158" i="30" s="1"/>
  <c r="AA159" i="30" s="1"/>
  <c r="AG49" i="30"/>
  <c r="AG146" i="30" s="1"/>
  <c r="AG158" i="30" s="1"/>
  <c r="AG159" i="30" s="1"/>
  <c r="Y49" i="30"/>
  <c r="Y146" i="30" s="1"/>
  <c r="Y158" i="30" s="1"/>
  <c r="Y159" i="30" s="1"/>
  <c r="K145" i="30"/>
  <c r="K147" i="30" s="1"/>
  <c r="K146" i="30"/>
  <c r="K158" i="30" s="1"/>
  <c r="K159" i="30" s="1"/>
  <c r="AM49" i="30"/>
  <c r="AM146" i="30" s="1"/>
  <c r="AM158" i="30" s="1"/>
  <c r="AM159" i="30" s="1"/>
  <c r="Q49" i="30"/>
  <c r="Q146" i="30" s="1"/>
  <c r="Q158" i="30" s="1"/>
  <c r="Q159" i="30" s="1"/>
  <c r="AN49" i="30"/>
  <c r="AN146" i="30" s="1"/>
  <c r="AN158" i="30" s="1"/>
  <c r="AN159" i="30" s="1"/>
  <c r="O49" i="30"/>
  <c r="O146" i="30" s="1"/>
  <c r="O158" i="30" s="1"/>
  <c r="O159" i="30" s="1"/>
  <c r="L49" i="30"/>
  <c r="L146" i="30" s="1"/>
  <c r="L158" i="30" s="1"/>
  <c r="L159" i="30" s="1"/>
  <c r="AE49" i="30"/>
  <c r="AE146" i="30" s="1"/>
  <c r="AE158" i="30" s="1"/>
  <c r="AE159" i="30" s="1"/>
  <c r="AI49" i="30"/>
  <c r="AI146" i="30" s="1"/>
  <c r="AI158" i="30" s="1"/>
  <c r="AI159" i="30" s="1"/>
  <c r="V49" i="30"/>
  <c r="V146" i="30" s="1"/>
  <c r="V158" i="30" s="1"/>
  <c r="V159" i="30" s="1"/>
  <c r="N49" i="30"/>
  <c r="N146" i="30" s="1"/>
  <c r="N158" i="30" s="1"/>
  <c r="N159" i="30" s="1"/>
  <c r="AF49" i="30"/>
  <c r="AF146" i="30" s="1"/>
  <c r="AF158" i="30" s="1"/>
  <c r="AF159" i="30" s="1"/>
  <c r="AL49" i="30"/>
  <c r="AL146" i="30" s="1"/>
  <c r="AL158" i="30" s="1"/>
  <c r="AL159" i="30" s="1"/>
  <c r="AB49" i="30"/>
  <c r="AB146" i="30" s="1"/>
  <c r="AB158" i="30" s="1"/>
  <c r="AB159" i="30" s="1"/>
  <c r="P49" i="30"/>
  <c r="P146" i="30" s="1"/>
  <c r="P158" i="30" s="1"/>
  <c r="P159" i="30" s="1"/>
  <c r="R49" i="30"/>
  <c r="R146" i="30" s="1"/>
  <c r="R158" i="30" s="1"/>
  <c r="R159" i="30" s="1"/>
  <c r="AD49" i="30"/>
  <c r="AD146" i="30" s="1"/>
  <c r="AD158" i="30" s="1"/>
  <c r="AD159" i="30" s="1"/>
  <c r="M49" i="30"/>
  <c r="M146" i="30" s="1"/>
  <c r="M158" i="30" s="1"/>
  <c r="M159" i="30" s="1"/>
  <c r="AC49" i="30"/>
  <c r="AC146" i="30" s="1"/>
  <c r="AC158" i="30" s="1"/>
  <c r="AC159" i="30" s="1"/>
  <c r="P29" i="29"/>
  <c r="P31" i="29" s="1"/>
  <c r="O29" i="29"/>
  <c r="O31" i="29" s="1"/>
  <c r="U39" i="29"/>
  <c r="J160" i="30" l="1"/>
  <c r="C32" i="24" s="1"/>
  <c r="AC145" i="30"/>
  <c r="AC147" i="30" s="1"/>
  <c r="AC151" i="30" s="1"/>
  <c r="AD145" i="30"/>
  <c r="AD147" i="30" s="1"/>
  <c r="AD151" i="30" s="1"/>
  <c r="P145" i="30"/>
  <c r="P147" i="30" s="1"/>
  <c r="P151" i="30" s="1"/>
  <c r="AL145" i="30"/>
  <c r="AL147" i="30" s="1"/>
  <c r="AL151" i="30" s="1"/>
  <c r="N145" i="30"/>
  <c r="N147" i="30" s="1"/>
  <c r="N151" i="30" s="1"/>
  <c r="AI145" i="30"/>
  <c r="AI147" i="30" s="1"/>
  <c r="AI151" i="30" s="1"/>
  <c r="L145" i="30"/>
  <c r="L147" i="30" s="1"/>
  <c r="L151" i="30" s="1"/>
  <c r="AN145" i="30"/>
  <c r="AN147" i="30" s="1"/>
  <c r="AN151" i="30" s="1"/>
  <c r="AM145" i="30"/>
  <c r="AM147" i="30" s="1"/>
  <c r="AM151" i="30" s="1"/>
  <c r="Y145" i="30"/>
  <c r="Y147" i="30" s="1"/>
  <c r="Y151" i="30" s="1"/>
  <c r="AA145" i="30"/>
  <c r="AA147" i="30" s="1"/>
  <c r="AA151" i="30" s="1"/>
  <c r="Z145" i="30"/>
  <c r="Z147" i="30" s="1"/>
  <c r="Z151" i="30" s="1"/>
  <c r="U145" i="30"/>
  <c r="U147" i="30" s="1"/>
  <c r="U151" i="30" s="1"/>
  <c r="T145" i="30"/>
  <c r="T147" i="30" s="1"/>
  <c r="T151" i="30" s="1"/>
  <c r="W145" i="30"/>
  <c r="W147" i="30" s="1"/>
  <c r="W151" i="30" s="1"/>
  <c r="M145" i="30"/>
  <c r="M147" i="30" s="1"/>
  <c r="M151" i="30" s="1"/>
  <c r="R145" i="30"/>
  <c r="R147" i="30" s="1"/>
  <c r="R151" i="30" s="1"/>
  <c r="AB145" i="30"/>
  <c r="AB147" i="30" s="1"/>
  <c r="AB151" i="30" s="1"/>
  <c r="AF145" i="30"/>
  <c r="AF147" i="30" s="1"/>
  <c r="AF151" i="30" s="1"/>
  <c r="V145" i="30"/>
  <c r="V147" i="30" s="1"/>
  <c r="V151" i="30" s="1"/>
  <c r="AE145" i="30"/>
  <c r="AE147" i="30" s="1"/>
  <c r="AE151" i="30" s="1"/>
  <c r="O145" i="30"/>
  <c r="O147" i="30" s="1"/>
  <c r="O151" i="30" s="1"/>
  <c r="Q145" i="30"/>
  <c r="Q147" i="30" s="1"/>
  <c r="Q151" i="30" s="1"/>
  <c r="K151" i="30"/>
  <c r="AG145" i="30"/>
  <c r="AG147" i="30" s="1"/>
  <c r="AG151" i="30" s="1"/>
  <c r="AK145" i="30"/>
  <c r="AK147" i="30" s="1"/>
  <c r="AK151" i="30" s="1"/>
  <c r="AH145" i="30"/>
  <c r="AH147" i="30" s="1"/>
  <c r="AH151" i="30" s="1"/>
  <c r="S145" i="30"/>
  <c r="S147" i="30" s="1"/>
  <c r="S151" i="30" s="1"/>
  <c r="AJ145" i="30"/>
  <c r="AJ147" i="30" s="1"/>
  <c r="AJ151" i="30" s="1"/>
  <c r="X145" i="30"/>
  <c r="X147" i="30" s="1"/>
  <c r="X151" i="30" s="1"/>
  <c r="K164" i="30"/>
  <c r="L164" i="30" s="1"/>
  <c r="K129" i="29"/>
  <c r="I43" i="29"/>
  <c r="J154" i="30" l="1"/>
  <c r="M164" i="30"/>
  <c r="N164" i="30" s="1"/>
  <c r="O164" i="30" s="1"/>
  <c r="P164" i="30" s="1"/>
  <c r="Q164" i="30" s="1"/>
  <c r="R164" i="30" s="1"/>
  <c r="S164" i="30" s="1"/>
  <c r="T164" i="30" s="1"/>
  <c r="U164" i="30" s="1"/>
  <c r="V164" i="30" s="1"/>
  <c r="W164" i="30" s="1"/>
  <c r="X164" i="30" s="1"/>
  <c r="Y164" i="30" s="1"/>
  <c r="Z164" i="30" s="1"/>
  <c r="AA164" i="30" s="1"/>
  <c r="AB164" i="30" s="1"/>
  <c r="AC164" i="30" s="1"/>
  <c r="AD164" i="30" s="1"/>
  <c r="AE164" i="30" s="1"/>
  <c r="AF164" i="30" s="1"/>
  <c r="AG164" i="30" s="1"/>
  <c r="AH164" i="30" s="1"/>
  <c r="AI164" i="30" s="1"/>
  <c r="AJ164" i="30" s="1"/>
  <c r="AK164" i="30" s="1"/>
  <c r="AL164" i="30" s="1"/>
  <c r="AM164" i="30" s="1"/>
  <c r="AN164" i="30" s="1"/>
  <c r="I44" i="29"/>
  <c r="I61" i="29"/>
  <c r="I62" i="29" s="1"/>
  <c r="K167" i="30"/>
  <c r="L167" i="30" s="1"/>
  <c r="M167" i="30" s="1"/>
  <c r="N167" i="30" s="1"/>
  <c r="O167" i="30" s="1"/>
  <c r="P167" i="30" s="1"/>
  <c r="Q167" i="30" s="1"/>
  <c r="R167" i="30" s="1"/>
  <c r="S167" i="30" s="1"/>
  <c r="T167" i="30" s="1"/>
  <c r="U167" i="30" s="1"/>
  <c r="V167" i="30" s="1"/>
  <c r="W167" i="30" s="1"/>
  <c r="X167" i="30" s="1"/>
  <c r="Y167" i="30" s="1"/>
  <c r="Z167" i="30" s="1"/>
  <c r="AA167" i="30" s="1"/>
  <c r="AB167" i="30" s="1"/>
  <c r="AC167" i="30" s="1"/>
  <c r="AD167" i="30" s="1"/>
  <c r="AE167" i="30" s="1"/>
  <c r="AF167" i="30" s="1"/>
  <c r="AG167" i="30" s="1"/>
  <c r="AH167" i="30" s="1"/>
  <c r="AI167" i="30" s="1"/>
  <c r="AJ167" i="30" s="1"/>
  <c r="AK167" i="30" s="1"/>
  <c r="AL167" i="30" s="1"/>
  <c r="AM167" i="30" s="1"/>
  <c r="AN167" i="30" s="1"/>
  <c r="K166" i="30"/>
  <c r="L166" i="30" s="1"/>
  <c r="M166" i="30" s="1"/>
  <c r="N166" i="30" s="1"/>
  <c r="O166" i="30" s="1"/>
  <c r="P166" i="30" s="1"/>
  <c r="Q166" i="30" s="1"/>
  <c r="R166" i="30" s="1"/>
  <c r="S166" i="30" s="1"/>
  <c r="T166" i="30" s="1"/>
  <c r="U166" i="30" s="1"/>
  <c r="V166" i="30" s="1"/>
  <c r="W166" i="30" s="1"/>
  <c r="X166" i="30" s="1"/>
  <c r="Y166" i="30" s="1"/>
  <c r="Z166" i="30" s="1"/>
  <c r="AA166" i="30" s="1"/>
  <c r="AB166" i="30" s="1"/>
  <c r="AC166" i="30" s="1"/>
  <c r="AD166" i="30" s="1"/>
  <c r="AE166" i="30" s="1"/>
  <c r="AF166" i="30" s="1"/>
  <c r="AG166" i="30" s="1"/>
  <c r="AH166" i="30" s="1"/>
  <c r="AI166" i="30" s="1"/>
  <c r="AJ166" i="30" s="1"/>
  <c r="AK166" i="30" s="1"/>
  <c r="AL166" i="30" s="1"/>
  <c r="AM166" i="30" s="1"/>
  <c r="AN166" i="30" s="1"/>
  <c r="K165" i="30"/>
  <c r="L165" i="30" s="1"/>
  <c r="M165" i="30" s="1"/>
  <c r="N165" i="30" s="1"/>
  <c r="O165" i="30" s="1"/>
  <c r="P165" i="30" s="1"/>
  <c r="Q165" i="30" s="1"/>
  <c r="R165" i="30" s="1"/>
  <c r="S165" i="30" s="1"/>
  <c r="T165" i="30" s="1"/>
  <c r="U165" i="30" s="1"/>
  <c r="V165" i="30" s="1"/>
  <c r="W165" i="30" s="1"/>
  <c r="X165" i="30" s="1"/>
  <c r="Y165" i="30" s="1"/>
  <c r="Z165" i="30" s="1"/>
  <c r="AA165" i="30" s="1"/>
  <c r="AB165" i="30" s="1"/>
  <c r="AC165" i="30" s="1"/>
  <c r="AD165" i="30" s="1"/>
  <c r="AE165" i="30" s="1"/>
  <c r="AF165" i="30" s="1"/>
  <c r="AG165" i="30" s="1"/>
  <c r="AH165" i="30" s="1"/>
  <c r="AI165" i="30" s="1"/>
  <c r="AJ165" i="30" s="1"/>
  <c r="AK165" i="30" s="1"/>
  <c r="AL165" i="30" s="1"/>
  <c r="AM165" i="30" s="1"/>
  <c r="AN165" i="30" s="1"/>
  <c r="K168" i="30"/>
  <c r="L168" i="30" s="1"/>
  <c r="M168" i="30" s="1"/>
  <c r="N168" i="30" s="1"/>
  <c r="O168" i="30" s="1"/>
  <c r="P168" i="30" s="1"/>
  <c r="Q168" i="30" s="1"/>
  <c r="R168" i="30" s="1"/>
  <c r="S168" i="30" s="1"/>
  <c r="T168" i="30" s="1"/>
  <c r="U168" i="30" s="1"/>
  <c r="V168" i="30" s="1"/>
  <c r="W168" i="30" s="1"/>
  <c r="X168" i="30" s="1"/>
  <c r="Y168" i="30" s="1"/>
  <c r="Z168" i="30" s="1"/>
  <c r="AA168" i="30" s="1"/>
  <c r="AB168" i="30" s="1"/>
  <c r="AC168" i="30" s="1"/>
  <c r="AD168" i="30" s="1"/>
  <c r="AE168" i="30" s="1"/>
  <c r="AF168" i="30" s="1"/>
  <c r="AG168" i="30" s="1"/>
  <c r="AH168" i="30" s="1"/>
  <c r="AI168" i="30" s="1"/>
  <c r="AJ168" i="30" s="1"/>
  <c r="AK168" i="30" s="1"/>
  <c r="AL168" i="30" s="1"/>
  <c r="AM168" i="30" s="1"/>
  <c r="AN168" i="30" s="1"/>
  <c r="E48" i="29"/>
  <c r="E66" i="29" s="1"/>
  <c r="F43" i="29"/>
  <c r="G46" i="29"/>
  <c r="G64" i="29" s="1"/>
  <c r="H48" i="29"/>
  <c r="H66" i="29" s="1"/>
  <c r="I52" i="29"/>
  <c r="I53" i="29" s="1"/>
  <c r="J49" i="29"/>
  <c r="J67" i="29" s="1"/>
  <c r="K46" i="29"/>
  <c r="K64" i="29" s="1"/>
  <c r="E49" i="29"/>
  <c r="E67" i="29" s="1"/>
  <c r="F45" i="29"/>
  <c r="F63" i="29" s="1"/>
  <c r="G47" i="29"/>
  <c r="G65" i="29" s="1"/>
  <c r="H49" i="29"/>
  <c r="H67" i="29" s="1"/>
  <c r="I45" i="29"/>
  <c r="I63" i="29" s="1"/>
  <c r="J129" i="29"/>
  <c r="C129" i="29"/>
  <c r="F46" i="29"/>
  <c r="F64" i="29" s="1"/>
  <c r="G48" i="29"/>
  <c r="G66" i="29" s="1"/>
  <c r="H129" i="29"/>
  <c r="I46" i="29"/>
  <c r="I64" i="29" s="1"/>
  <c r="K49" i="29"/>
  <c r="K67" i="29" s="1"/>
  <c r="K45" i="29"/>
  <c r="K63" i="29" s="1"/>
  <c r="E129" i="29"/>
  <c r="F47" i="29"/>
  <c r="F65" i="29" s="1"/>
  <c r="G49" i="29"/>
  <c r="G67" i="29" s="1"/>
  <c r="I47" i="29"/>
  <c r="I65" i="29" s="1"/>
  <c r="J43" i="29"/>
  <c r="E43" i="29"/>
  <c r="F48" i="29"/>
  <c r="F66" i="29" s="1"/>
  <c r="G129" i="29"/>
  <c r="H43" i="29"/>
  <c r="I48" i="29"/>
  <c r="I66" i="29" s="1"/>
  <c r="J45" i="29"/>
  <c r="J63" i="29" s="1"/>
  <c r="K48" i="29"/>
  <c r="K66" i="29" s="1"/>
  <c r="K43" i="29"/>
  <c r="E45" i="29"/>
  <c r="E63" i="29" s="1"/>
  <c r="F49" i="29"/>
  <c r="F67" i="29" s="1"/>
  <c r="H45" i="29"/>
  <c r="H63" i="29" s="1"/>
  <c r="I49" i="29"/>
  <c r="I67" i="29" s="1"/>
  <c r="J46" i="29"/>
  <c r="J64" i="29" s="1"/>
  <c r="E46" i="29"/>
  <c r="E64" i="29" s="1"/>
  <c r="F129" i="29"/>
  <c r="G43" i="29"/>
  <c r="H46" i="29"/>
  <c r="H64" i="29" s="1"/>
  <c r="I129" i="29"/>
  <c r="J47" i="29"/>
  <c r="J65" i="29" s="1"/>
  <c r="K47" i="29"/>
  <c r="K65" i="29" s="1"/>
  <c r="E47" i="29"/>
  <c r="E65" i="29" s="1"/>
  <c r="G45" i="29"/>
  <c r="G63" i="29" s="1"/>
  <c r="H47" i="29"/>
  <c r="H65" i="29" s="1"/>
  <c r="J48" i="29"/>
  <c r="J66" i="29" s="1"/>
  <c r="C43" i="29"/>
  <c r="J155" i="30" l="1"/>
  <c r="C61" i="29"/>
  <c r="C44" i="29"/>
  <c r="F44" i="29"/>
  <c r="F61" i="29"/>
  <c r="G44" i="29"/>
  <c r="G61" i="29"/>
  <c r="G62" i="29" s="1"/>
  <c r="K61" i="29"/>
  <c r="K44" i="29"/>
  <c r="J44" i="29"/>
  <c r="J61" i="29"/>
  <c r="E61" i="29"/>
  <c r="E62" i="29" s="1"/>
  <c r="E44" i="29"/>
  <c r="H61" i="29"/>
  <c r="H44" i="29"/>
  <c r="I68" i="29"/>
  <c r="L152" i="30"/>
  <c r="M152" i="30" s="1"/>
  <c r="N152" i="30" s="1"/>
  <c r="P152" i="30" s="1"/>
  <c r="Q152" i="30" s="1"/>
  <c r="R152" i="30" s="1"/>
  <c r="S152" i="30" s="1"/>
  <c r="T152" i="30" s="1"/>
  <c r="U152" i="30" s="1"/>
  <c r="V152" i="30" s="1"/>
  <c r="W152" i="30" s="1"/>
  <c r="X152" i="30" s="1"/>
  <c r="Y152" i="30" s="1"/>
  <c r="Z152" i="30" s="1"/>
  <c r="AA152" i="30" s="1"/>
  <c r="AB152" i="30" s="1"/>
  <c r="AC152" i="30" s="1"/>
  <c r="AD152" i="30" s="1"/>
  <c r="AE152" i="30" s="1"/>
  <c r="AF152" i="30" s="1"/>
  <c r="AG152" i="30" s="1"/>
  <c r="AH152" i="30" s="1"/>
  <c r="AI152" i="30" s="1"/>
  <c r="AJ152" i="30" s="1"/>
  <c r="AK152" i="30" s="1"/>
  <c r="AL152" i="30" s="1"/>
  <c r="AM152" i="30" s="1"/>
  <c r="AN152" i="30" s="1"/>
  <c r="I70" i="29"/>
  <c r="F56" i="29"/>
  <c r="H56" i="29"/>
  <c r="C46" i="29"/>
  <c r="C64" i="29" s="1"/>
  <c r="J50" i="29"/>
  <c r="J52" i="29"/>
  <c r="J53" i="29" s="1"/>
  <c r="C48" i="29"/>
  <c r="C66" i="29" s="1"/>
  <c r="G56" i="29"/>
  <c r="G55" i="29"/>
  <c r="J55" i="29"/>
  <c r="E54" i="29"/>
  <c r="I57" i="29"/>
  <c r="C52" i="29"/>
  <c r="C53" i="29" s="1"/>
  <c r="G54" i="29"/>
  <c r="K56" i="29"/>
  <c r="I56" i="29"/>
  <c r="C49" i="29"/>
  <c r="C67" i="29" s="1"/>
  <c r="G57" i="29"/>
  <c r="F54" i="29"/>
  <c r="J56" i="29"/>
  <c r="G52" i="29"/>
  <c r="G53" i="29" s="1"/>
  <c r="G50" i="29"/>
  <c r="I58" i="29"/>
  <c r="C45" i="29"/>
  <c r="C63" i="29" s="1"/>
  <c r="H52" i="29"/>
  <c r="H53" i="29" s="1"/>
  <c r="H50" i="29"/>
  <c r="B129" i="29"/>
  <c r="E56" i="29"/>
  <c r="E52" i="29"/>
  <c r="E53" i="29" s="1"/>
  <c r="E50" i="29"/>
  <c r="G58" i="29"/>
  <c r="K54" i="29"/>
  <c r="F55" i="29"/>
  <c r="I54" i="29"/>
  <c r="E58" i="29"/>
  <c r="I50" i="29"/>
  <c r="F52" i="29"/>
  <c r="F53" i="29" s="1"/>
  <c r="F50" i="29"/>
  <c r="L23" i="29"/>
  <c r="D137" i="29" s="1"/>
  <c r="H54" i="29"/>
  <c r="K52" i="29"/>
  <c r="K53" i="29" s="1"/>
  <c r="K50" i="29"/>
  <c r="K58" i="29"/>
  <c r="J57" i="29"/>
  <c r="C47" i="29"/>
  <c r="C65" i="29" s="1"/>
  <c r="K57" i="29"/>
  <c r="I55" i="29"/>
  <c r="H58" i="29"/>
  <c r="K55" i="29"/>
  <c r="H57" i="29"/>
  <c r="E57" i="29"/>
  <c r="H55" i="29"/>
  <c r="E55" i="29"/>
  <c r="F58" i="29"/>
  <c r="J54" i="29"/>
  <c r="F57" i="29"/>
  <c r="J58" i="29"/>
  <c r="E68" i="29" l="1"/>
  <c r="H68" i="29"/>
  <c r="H62" i="29"/>
  <c r="F68" i="29"/>
  <c r="F62" i="29"/>
  <c r="K62" i="29"/>
  <c r="K68" i="29"/>
  <c r="J68" i="29"/>
  <c r="J62" i="29"/>
  <c r="G68" i="29"/>
  <c r="C62" i="29"/>
  <c r="C68" i="29"/>
  <c r="I76" i="29"/>
  <c r="I85" i="29" s="1"/>
  <c r="K74" i="29"/>
  <c r="K83" i="29" s="1"/>
  <c r="H74" i="29"/>
  <c r="H83" i="29" s="1"/>
  <c r="C50" i="29"/>
  <c r="F72" i="29"/>
  <c r="F81" i="29" s="1"/>
  <c r="J75" i="29"/>
  <c r="J84" i="29" s="1"/>
  <c r="I79" i="29"/>
  <c r="I88" i="29" s="1"/>
  <c r="E70" i="29"/>
  <c r="E79" i="29" s="1"/>
  <c r="E88" i="29" s="1"/>
  <c r="J74" i="29"/>
  <c r="J83" i="29" s="1"/>
  <c r="H72" i="29"/>
  <c r="H81" i="29" s="1"/>
  <c r="G72" i="29"/>
  <c r="G81" i="29" s="1"/>
  <c r="K76" i="29"/>
  <c r="K85" i="29" s="1"/>
  <c r="E76" i="29"/>
  <c r="E85" i="29" s="1"/>
  <c r="G74" i="29"/>
  <c r="G83" i="29" s="1"/>
  <c r="H75" i="29"/>
  <c r="H84" i="29" s="1"/>
  <c r="K75" i="29"/>
  <c r="K84" i="29" s="1"/>
  <c r="I75" i="29"/>
  <c r="I84" i="29" s="1"/>
  <c r="H70" i="29"/>
  <c r="G75" i="29"/>
  <c r="G84" i="29" s="1"/>
  <c r="G76" i="29"/>
  <c r="G85" i="29" s="1"/>
  <c r="E74" i="29"/>
  <c r="E83" i="29" s="1"/>
  <c r="J76" i="29"/>
  <c r="J85" i="29" s="1"/>
  <c r="E73" i="29"/>
  <c r="E82" i="29" s="1"/>
  <c r="G71" i="29"/>
  <c r="I74" i="29"/>
  <c r="I83" i="29" s="1"/>
  <c r="C70" i="29"/>
  <c r="E72" i="29"/>
  <c r="E81" i="29" s="1"/>
  <c r="C55" i="29"/>
  <c r="J128" i="29"/>
  <c r="C128" i="29"/>
  <c r="B128" i="29"/>
  <c r="F128" i="29"/>
  <c r="H128" i="29"/>
  <c r="D128" i="29"/>
  <c r="G128" i="29"/>
  <c r="I128" i="29"/>
  <c r="E128" i="29"/>
  <c r="K128" i="29"/>
  <c r="J73" i="29"/>
  <c r="J82" i="29" s="1"/>
  <c r="F75" i="29"/>
  <c r="F84" i="29" s="1"/>
  <c r="H73" i="29"/>
  <c r="H82" i="29" s="1"/>
  <c r="K73" i="29"/>
  <c r="K82" i="29" s="1"/>
  <c r="C56" i="29"/>
  <c r="K70" i="29"/>
  <c r="B26" i="29"/>
  <c r="L26" i="29" s="1"/>
  <c r="L25" i="29"/>
  <c r="I72" i="29"/>
  <c r="I81" i="29" s="1"/>
  <c r="C54" i="29"/>
  <c r="B48" i="29"/>
  <c r="B66" i="29" s="1"/>
  <c r="C57" i="29"/>
  <c r="B47" i="29"/>
  <c r="B65" i="29" s="1"/>
  <c r="J70" i="29"/>
  <c r="B46" i="29"/>
  <c r="B64" i="29" s="1"/>
  <c r="J72" i="29"/>
  <c r="J81" i="29" s="1"/>
  <c r="B45" i="29"/>
  <c r="B63" i="29" s="1"/>
  <c r="H76" i="29"/>
  <c r="H85" i="29" s="1"/>
  <c r="F70" i="29"/>
  <c r="F73" i="29"/>
  <c r="F82" i="29" s="1"/>
  <c r="G70" i="29"/>
  <c r="B49" i="29"/>
  <c r="B67" i="29" s="1"/>
  <c r="B43" i="29"/>
  <c r="B44" i="29" s="1"/>
  <c r="F76" i="29"/>
  <c r="F85" i="29" s="1"/>
  <c r="E75" i="29"/>
  <c r="E84" i="29" s="1"/>
  <c r="I73" i="29"/>
  <c r="I82" i="29" s="1"/>
  <c r="I71" i="29"/>
  <c r="K72" i="29"/>
  <c r="K81" i="29" s="1"/>
  <c r="C58" i="29"/>
  <c r="G73" i="29"/>
  <c r="G82" i="29" s="1"/>
  <c r="F74" i="29"/>
  <c r="F83" i="29" s="1"/>
  <c r="I91" i="29" l="1"/>
  <c r="I100" i="29" s="1"/>
  <c r="H93" i="29"/>
  <c r="H102" i="29" s="1"/>
  <c r="G91" i="29"/>
  <c r="G100" i="29" s="1"/>
  <c r="E93" i="29"/>
  <c r="E102" i="29" s="1"/>
  <c r="H91" i="29"/>
  <c r="H100" i="29" s="1"/>
  <c r="G92" i="29"/>
  <c r="G101" i="29" s="1"/>
  <c r="J93" i="29"/>
  <c r="J102" i="29" s="1"/>
  <c r="F92" i="29"/>
  <c r="F101" i="29" s="1"/>
  <c r="K91" i="29"/>
  <c r="K100" i="29" s="1"/>
  <c r="F93" i="29"/>
  <c r="F102" i="29" s="1"/>
  <c r="E94" i="29"/>
  <c r="E103" i="29" s="1"/>
  <c r="J91" i="29"/>
  <c r="J100" i="29" s="1"/>
  <c r="I92" i="29"/>
  <c r="I101" i="29" s="1"/>
  <c r="G94" i="29"/>
  <c r="G103" i="29" s="1"/>
  <c r="K94" i="29"/>
  <c r="K103" i="29" s="1"/>
  <c r="F91" i="29"/>
  <c r="F100" i="29" s="1"/>
  <c r="E90" i="29"/>
  <c r="E99" i="29" s="1"/>
  <c r="F94" i="29"/>
  <c r="F103" i="29" s="1"/>
  <c r="H92" i="29"/>
  <c r="H101" i="29" s="1"/>
  <c r="F90" i="29"/>
  <c r="F99" i="29" s="1"/>
  <c r="G93" i="29"/>
  <c r="G102" i="29" s="1"/>
  <c r="G90" i="29"/>
  <c r="G99" i="29" s="1"/>
  <c r="I90" i="29"/>
  <c r="I99" i="29" s="1"/>
  <c r="E92" i="29"/>
  <c r="E101" i="29" s="1"/>
  <c r="H94" i="29"/>
  <c r="H103" i="29" s="1"/>
  <c r="H90" i="29"/>
  <c r="H99" i="29" s="1"/>
  <c r="K90" i="29"/>
  <c r="K99" i="29" s="1"/>
  <c r="J90" i="29"/>
  <c r="J99" i="29" s="1"/>
  <c r="E91" i="29"/>
  <c r="E100" i="29" s="1"/>
  <c r="I93" i="29"/>
  <c r="I102" i="29" s="1"/>
  <c r="J92" i="29"/>
  <c r="J101" i="29" s="1"/>
  <c r="K92" i="29"/>
  <c r="K101" i="29" s="1"/>
  <c r="J94" i="29"/>
  <c r="J103" i="29" s="1"/>
  <c r="K93" i="29"/>
  <c r="K102" i="29" s="1"/>
  <c r="I94" i="29"/>
  <c r="I103" i="29" s="1"/>
  <c r="G77" i="29"/>
  <c r="H77" i="29"/>
  <c r="F77" i="29"/>
  <c r="E77" i="29"/>
  <c r="I86" i="29"/>
  <c r="K77" i="29"/>
  <c r="J77" i="29"/>
  <c r="I77" i="29"/>
  <c r="C72" i="29"/>
  <c r="C81" i="29" s="1"/>
  <c r="J79" i="29"/>
  <c r="H79" i="29"/>
  <c r="C79" i="29"/>
  <c r="C88" i="29" s="1"/>
  <c r="C97" i="29" s="1"/>
  <c r="L128" i="29"/>
  <c r="D142" i="29" s="1"/>
  <c r="D143" i="29" s="1"/>
  <c r="F79" i="29"/>
  <c r="J71" i="29"/>
  <c r="H71" i="29"/>
  <c r="K79" i="29"/>
  <c r="C74" i="29"/>
  <c r="C83" i="29" s="1"/>
  <c r="B52" i="29"/>
  <c r="B53" i="29" s="1"/>
  <c r="B61" i="29"/>
  <c r="B62" i="29" s="1"/>
  <c r="B50" i="29"/>
  <c r="B54" i="29"/>
  <c r="G79" i="29"/>
  <c r="G88" i="29" s="1"/>
  <c r="E71" i="29"/>
  <c r="C75" i="29"/>
  <c r="C84" i="29" s="1"/>
  <c r="C73" i="29"/>
  <c r="C82" i="29" s="1"/>
  <c r="C76" i="29"/>
  <c r="C85" i="29" s="1"/>
  <c r="E97" i="29"/>
  <c r="E86" i="29"/>
  <c r="F71" i="29"/>
  <c r="B55" i="29"/>
  <c r="B57" i="29"/>
  <c r="K71" i="29"/>
  <c r="C71" i="29"/>
  <c r="B58" i="29"/>
  <c r="B56" i="29"/>
  <c r="B76" i="29" l="1"/>
  <c r="B85" i="29" s="1"/>
  <c r="B94" i="29" s="1"/>
  <c r="C92" i="29"/>
  <c r="C101" i="29" s="1"/>
  <c r="K88" i="29"/>
  <c r="K97" i="29" s="1"/>
  <c r="K104" i="29" s="1"/>
  <c r="C90" i="29"/>
  <c r="C99" i="29" s="1"/>
  <c r="J88" i="29"/>
  <c r="J95" i="29" s="1"/>
  <c r="C93" i="29"/>
  <c r="C102" i="29" s="1"/>
  <c r="H88" i="29"/>
  <c r="H97" i="29" s="1"/>
  <c r="H104" i="29" s="1"/>
  <c r="C94" i="29"/>
  <c r="C103" i="29" s="1"/>
  <c r="F88" i="29"/>
  <c r="F95" i="29" s="1"/>
  <c r="C91" i="29"/>
  <c r="H86" i="29"/>
  <c r="I95" i="29"/>
  <c r="I97" i="29"/>
  <c r="I104" i="29" s="1"/>
  <c r="C77" i="29"/>
  <c r="C86" i="29"/>
  <c r="B73" i="29"/>
  <c r="B82" i="29" s="1"/>
  <c r="B91" i="29" s="1"/>
  <c r="K86" i="29"/>
  <c r="J86" i="29"/>
  <c r="F86" i="29"/>
  <c r="B74" i="29"/>
  <c r="B70" i="29"/>
  <c r="B79" i="29" s="1"/>
  <c r="B88" i="29" s="1"/>
  <c r="B68" i="29"/>
  <c r="G97" i="29"/>
  <c r="G86" i="29"/>
  <c r="B75" i="29"/>
  <c r="B72" i="29"/>
  <c r="E95" i="29"/>
  <c r="E104" i="29"/>
  <c r="K95" i="29" l="1"/>
  <c r="H95" i="29"/>
  <c r="C95" i="29"/>
  <c r="C100" i="29"/>
  <c r="C104" i="29" s="1"/>
  <c r="F97" i="29"/>
  <c r="F104" i="29" s="1"/>
  <c r="J97" i="29"/>
  <c r="J104" i="29" s="1"/>
  <c r="B83" i="29"/>
  <c r="B92" i="29" s="1"/>
  <c r="B101" i="29" s="1"/>
  <c r="B84" i="29"/>
  <c r="B93" i="29" s="1"/>
  <c r="B100" i="29"/>
  <c r="G104" i="29"/>
  <c r="G95" i="29"/>
  <c r="B71" i="29"/>
  <c r="B81" i="29"/>
  <c r="B103" i="29"/>
  <c r="B97" i="29"/>
  <c r="B77" i="29"/>
  <c r="B86" i="29" l="1"/>
  <c r="B90" i="29"/>
  <c r="B99" i="29" s="1"/>
  <c r="B102" i="29"/>
  <c r="B95" i="29" l="1"/>
  <c r="B104" i="29" l="1"/>
  <c r="L34" i="29" l="1"/>
  <c r="D129" i="29"/>
  <c r="L129" i="29" s="1"/>
  <c r="D138" i="29" s="1"/>
  <c r="D139" i="29" s="1"/>
  <c r="D43" i="29"/>
  <c r="L28" i="29"/>
  <c r="D49" i="29"/>
  <c r="D67" i="29" s="1"/>
  <c r="L33" i="29"/>
  <c r="D48" i="29"/>
  <c r="D66" i="29" s="1"/>
  <c r="L32" i="29"/>
  <c r="D45" i="29"/>
  <c r="D63" i="29" s="1"/>
  <c r="L29" i="29"/>
  <c r="D46" i="29"/>
  <c r="D64" i="29" s="1"/>
  <c r="L30" i="29"/>
  <c r="D47" i="29"/>
  <c r="D65" i="29" s="1"/>
  <c r="L31" i="29"/>
  <c r="D44" i="29" l="1"/>
  <c r="D61" i="29"/>
  <c r="L63" i="29"/>
  <c r="D54" i="29"/>
  <c r="L45" i="29"/>
  <c r="D57" i="29"/>
  <c r="L66" i="29"/>
  <c r="L48" i="29"/>
  <c r="D56" i="29"/>
  <c r="L65" i="29"/>
  <c r="L47" i="29"/>
  <c r="D58" i="29"/>
  <c r="L49" i="29"/>
  <c r="P24" i="29"/>
  <c r="P27" i="29" s="1"/>
  <c r="P32" i="29" s="1"/>
  <c r="P33" i="29" s="1"/>
  <c r="D55" i="29"/>
  <c r="L55" i="29" s="1"/>
  <c r="L64" i="29"/>
  <c r="L46" i="29"/>
  <c r="D141" i="29"/>
  <c r="D140" i="29"/>
  <c r="L43" i="29"/>
  <c r="D52" i="29"/>
  <c r="D53" i="29" s="1"/>
  <c r="L61" i="29"/>
  <c r="D50" i="29"/>
  <c r="L50" i="29" s="1"/>
  <c r="D62" i="29" l="1"/>
  <c r="D68" i="29"/>
  <c r="L68" i="29" s="1"/>
  <c r="V38" i="29"/>
  <c r="V42" i="29" s="1"/>
  <c r="X8" i="29" s="1"/>
  <c r="L67" i="29"/>
  <c r="D76" i="29"/>
  <c r="D85" i="29" s="1"/>
  <c r="D94" i="29" s="1"/>
  <c r="D74" i="29"/>
  <c r="D73" i="29"/>
  <c r="L56" i="29"/>
  <c r="D70" i="29"/>
  <c r="L44" i="29"/>
  <c r="O24" i="29"/>
  <c r="O27" i="29" s="1"/>
  <c r="Q39" i="29"/>
  <c r="W8" i="29" s="1"/>
  <c r="R39" i="29"/>
  <c r="W9" i="29" s="1"/>
  <c r="D75" i="29"/>
  <c r="L52" i="29"/>
  <c r="L57" i="29"/>
  <c r="V44" i="29"/>
  <c r="L58" i="29"/>
  <c r="L54" i="29"/>
  <c r="D72" i="29"/>
  <c r="U38" i="29" l="1"/>
  <c r="U42" i="29" s="1"/>
  <c r="X4" i="29" s="1"/>
  <c r="L62" i="29"/>
  <c r="D81" i="29"/>
  <c r="D90" i="29" s="1"/>
  <c r="L72" i="29"/>
  <c r="D82" i="29"/>
  <c r="D91" i="29" s="1"/>
  <c r="L73" i="29"/>
  <c r="D83" i="29"/>
  <c r="D92" i="29" s="1"/>
  <c r="L74" i="29"/>
  <c r="D77" i="29"/>
  <c r="L77" i="29" s="1"/>
  <c r="L70" i="29"/>
  <c r="D103" i="29"/>
  <c r="L85" i="29"/>
  <c r="L76" i="29"/>
  <c r="V45" i="29"/>
  <c r="V46" i="29" s="1"/>
  <c r="D84" i="29"/>
  <c r="D93" i="29" s="1"/>
  <c r="L75" i="29"/>
  <c r="AG9" i="29"/>
  <c r="AR9" i="29"/>
  <c r="AT9" i="29"/>
  <c r="AF9" i="29"/>
  <c r="AU9" i="29"/>
  <c r="AS9" i="29"/>
  <c r="AH9" i="29"/>
  <c r="D71" i="29"/>
  <c r="L53" i="29"/>
  <c r="U44" i="29"/>
  <c r="D79" i="29"/>
  <c r="AB10" i="29"/>
  <c r="AO10" i="29"/>
  <c r="AM10" i="29"/>
  <c r="AN10" i="29"/>
  <c r="AC10" i="29"/>
  <c r="AA10" i="29"/>
  <c r="AP10" i="29"/>
  <c r="AC9" i="29"/>
  <c r="AN9" i="29"/>
  <c r="AB9" i="29"/>
  <c r="AO9" i="29"/>
  <c r="AP9" i="29"/>
  <c r="AA9" i="29"/>
  <c r="AM9" i="29"/>
  <c r="O42" i="29"/>
  <c r="O32" i="29"/>
  <c r="O33" i="29" l="1"/>
  <c r="C45" i="24"/>
  <c r="L79" i="29"/>
  <c r="D88" i="29"/>
  <c r="D102" i="29"/>
  <c r="L84" i="29"/>
  <c r="D101" i="29"/>
  <c r="L83" i="29"/>
  <c r="X9" i="29"/>
  <c r="AG10" i="29" s="1"/>
  <c r="D100" i="29"/>
  <c r="L82" i="29"/>
  <c r="L103" i="29"/>
  <c r="L94" i="29"/>
  <c r="D99" i="29"/>
  <c r="L81" i="29"/>
  <c r="U45" i="29"/>
  <c r="U46" i="29" s="1"/>
  <c r="X19" i="29" s="1"/>
  <c r="X20" i="29" s="1"/>
  <c r="L71" i="29"/>
  <c r="AH6" i="29"/>
  <c r="AF6" i="29"/>
  <c r="AS6" i="29"/>
  <c r="AU6" i="29"/>
  <c r="AT6" i="29"/>
  <c r="AG6" i="29"/>
  <c r="AR6" i="29"/>
  <c r="O44" i="29"/>
  <c r="O45" i="29"/>
  <c r="P39" i="29" s="1"/>
  <c r="W5" i="29" s="1"/>
  <c r="O43" i="29"/>
  <c r="W7" i="29" s="1"/>
  <c r="D86" i="29"/>
  <c r="L86" i="29" s="1"/>
  <c r="AS10" i="29" l="1"/>
  <c r="AH10" i="29"/>
  <c r="AR10" i="29"/>
  <c r="L88" i="29"/>
  <c r="D97" i="29"/>
  <c r="AF10" i="29"/>
  <c r="AT10" i="29"/>
  <c r="L100" i="29"/>
  <c r="L91" i="29"/>
  <c r="X5" i="29"/>
  <c r="AU7" i="29" s="1"/>
  <c r="AU10" i="29"/>
  <c r="L99" i="29"/>
  <c r="L90" i="29"/>
  <c r="L101" i="29"/>
  <c r="L92" i="29"/>
  <c r="L102" i="29"/>
  <c r="L93" i="29"/>
  <c r="D95" i="29"/>
  <c r="L95" i="29" s="1"/>
  <c r="O46" i="29"/>
  <c r="AO7" i="29"/>
  <c r="AA7" i="29"/>
  <c r="AP7" i="29"/>
  <c r="AN7" i="29"/>
  <c r="AM7" i="29"/>
  <c r="AC7" i="29"/>
  <c r="AB7" i="29"/>
  <c r="N39" i="29"/>
  <c r="W6" i="29"/>
  <c r="AG7" i="29" l="1"/>
  <c r="BA5" i="29" s="1"/>
  <c r="AH7" i="29"/>
  <c r="BA8" i="29" s="1"/>
  <c r="AR7" i="29"/>
  <c r="AT7" i="29"/>
  <c r="AT27" i="29" s="1"/>
  <c r="BA17" i="29" s="1"/>
  <c r="AS7" i="29"/>
  <c r="AF7" i="29"/>
  <c r="BA4" i="29" s="1"/>
  <c r="D104" i="29"/>
  <c r="L104" i="29" s="1"/>
  <c r="X11" i="29" s="1"/>
  <c r="L97" i="29"/>
  <c r="W4" i="29"/>
  <c r="O39" i="29"/>
  <c r="AN8" i="29"/>
  <c r="AA8" i="29"/>
  <c r="AB8" i="29"/>
  <c r="AC8" i="29"/>
  <c r="AP8" i="29"/>
  <c r="AO8" i="29"/>
  <c r="AM8" i="29"/>
  <c r="AT28" i="29" l="1"/>
  <c r="BA18" i="29" s="1"/>
  <c r="AB6" i="29"/>
  <c r="AZ5" i="29" s="1"/>
  <c r="AC6" i="29"/>
  <c r="AZ8" i="29" s="1"/>
  <c r="AP6" i="29"/>
  <c r="AN6" i="29"/>
  <c r="AM6" i="29"/>
  <c r="AA6" i="29"/>
  <c r="AZ4" i="29" s="1"/>
  <c r="AO6" i="29"/>
  <c r="AS27" i="29" l="1"/>
  <c r="AZ17" i="29" s="1"/>
  <c r="AS28" i="29"/>
  <c r="AZ18" i="29" s="1"/>
  <c r="C47" i="16" l="1"/>
  <c r="H31" i="21"/>
  <c r="G28" i="21"/>
  <c r="G25" i="21"/>
  <c r="G22" i="21"/>
  <c r="G19" i="21"/>
  <c r="G16" i="21"/>
  <c r="G13" i="21"/>
  <c r="I13" i="21" s="1"/>
  <c r="G10" i="21"/>
  <c r="I10" i="21" s="1"/>
  <c r="G7" i="21"/>
  <c r="I7" i="21" s="1"/>
  <c r="G4" i="21"/>
  <c r="I4" i="21" s="1"/>
  <c r="C3" i="22"/>
  <c r="O246" i="22" l="1"/>
  <c r="P246" i="22" s="1"/>
  <c r="O236" i="22"/>
  <c r="P236" i="22" s="1"/>
  <c r="O189" i="22"/>
  <c r="P189" i="22" s="1"/>
  <c r="O166" i="22"/>
  <c r="P166" i="22" s="1"/>
  <c r="O148" i="22"/>
  <c r="P148" i="22" s="1"/>
  <c r="O142" i="22"/>
  <c r="P142" i="22" s="1"/>
  <c r="O127" i="22"/>
  <c r="P127" i="22" s="1"/>
  <c r="O121" i="22"/>
  <c r="P121" i="22" s="1"/>
  <c r="O116" i="22"/>
  <c r="P116" i="22" s="1"/>
  <c r="O77" i="22"/>
  <c r="P77" i="22" s="1"/>
  <c r="O70" i="22"/>
  <c r="P70" i="22" s="1"/>
  <c r="O238" i="22"/>
  <c r="P238" i="22" s="1"/>
  <c r="O234" i="22"/>
  <c r="P234" i="22" s="1"/>
  <c r="O220" i="22"/>
  <c r="P220" i="22" s="1"/>
  <c r="O209" i="22"/>
  <c r="P209" i="22" s="1"/>
  <c r="O190" i="22"/>
  <c r="P190" i="22" s="1"/>
  <c r="O188" i="22"/>
  <c r="P188" i="22" s="1"/>
  <c r="O174" i="22"/>
  <c r="P174" i="22" s="1"/>
  <c r="O163" i="22"/>
  <c r="P163" i="22" s="1"/>
  <c r="O146" i="22"/>
  <c r="P146" i="22" s="1"/>
  <c r="O101" i="22"/>
  <c r="P101" i="22" s="1"/>
  <c r="O93" i="22"/>
  <c r="P93" i="22" s="1"/>
  <c r="O72" i="22"/>
  <c r="P72" i="22" s="1"/>
  <c r="O69" i="22"/>
  <c r="P69" i="22" s="1"/>
  <c r="O64" i="22"/>
  <c r="P64" i="22" s="1"/>
  <c r="O223" i="22"/>
  <c r="P223" i="22" s="1"/>
  <c r="O212" i="22"/>
  <c r="P212" i="22" s="1"/>
  <c r="O150" i="22"/>
  <c r="P150" i="22" s="1"/>
  <c r="O140" i="22"/>
  <c r="P140" i="22" s="1"/>
  <c r="O124" i="22"/>
  <c r="P124" i="22" s="1"/>
  <c r="O119" i="22"/>
  <c r="P119" i="22" s="1"/>
  <c r="O113" i="22"/>
  <c r="P113" i="22" s="1"/>
  <c r="O99" i="22"/>
  <c r="P99" i="22" s="1"/>
  <c r="O91" i="22"/>
  <c r="P91" i="22" s="1"/>
  <c r="O75" i="22"/>
  <c r="P75" i="22" s="1"/>
  <c r="O167" i="22"/>
  <c r="P167" i="22" s="1"/>
  <c r="O214" i="22"/>
  <c r="P214" i="22" s="1"/>
  <c r="O78" i="22"/>
  <c r="P78" i="22" s="1"/>
  <c r="O197" i="22"/>
  <c r="P197" i="22" s="1"/>
  <c r="O100" i="22"/>
  <c r="P100" i="22" s="1"/>
  <c r="O172" i="22"/>
  <c r="P172" i="22" s="1"/>
  <c r="O243" i="22"/>
  <c r="P243" i="22" s="1"/>
  <c r="O79" i="22"/>
  <c r="P79" i="22" s="1"/>
  <c r="O94" i="22"/>
  <c r="P94" i="22" s="1"/>
  <c r="O115" i="22"/>
  <c r="P115" i="22" s="1"/>
  <c r="O136" i="22"/>
  <c r="P136" i="22" s="1"/>
  <c r="O165" i="22"/>
  <c r="P165" i="22" s="1"/>
  <c r="O213" i="22"/>
  <c r="P213" i="22" s="1"/>
  <c r="O245" i="22"/>
  <c r="P245" i="22" s="1"/>
  <c r="O88" i="22"/>
  <c r="P88" i="22" s="1"/>
  <c r="O122" i="22"/>
  <c r="P122" i="22" s="1"/>
  <c r="O160" i="22"/>
  <c r="P160" i="22" s="1"/>
  <c r="O185" i="22"/>
  <c r="P185" i="22" s="1"/>
  <c r="O198" i="22"/>
  <c r="P198" i="22" s="1"/>
  <c r="O221" i="22"/>
  <c r="P221" i="22" s="1"/>
  <c r="O241" i="22"/>
  <c r="P241" i="22" s="1"/>
  <c r="O89" i="22"/>
  <c r="P89" i="22" s="1"/>
  <c r="O98" i="22"/>
  <c r="P98" i="22" s="1"/>
  <c r="O118" i="22"/>
  <c r="P118" i="22" s="1"/>
  <c r="O162" i="22"/>
  <c r="P162" i="22" s="1"/>
  <c r="O233" i="22"/>
  <c r="P233" i="22" s="1"/>
  <c r="O171" i="22"/>
  <c r="P171" i="22" s="1"/>
  <c r="O215" i="22"/>
  <c r="P215" i="22" s="1"/>
  <c r="O138" i="22"/>
  <c r="P138" i="22" s="1"/>
  <c r="O222" i="22"/>
  <c r="P222" i="22" s="1"/>
  <c r="O68" i="22"/>
  <c r="P68" i="22" s="1"/>
  <c r="O141" i="22"/>
  <c r="P141" i="22" s="1"/>
  <c r="O173" i="22"/>
  <c r="P173" i="22" s="1"/>
  <c r="O208" i="22"/>
  <c r="P208" i="22" s="1"/>
  <c r="O102" i="22"/>
  <c r="P102" i="22" s="1"/>
  <c r="O120" i="22"/>
  <c r="P120" i="22" s="1"/>
  <c r="O137" i="22"/>
  <c r="P137" i="22" s="1"/>
  <c r="O168" i="22"/>
  <c r="P168" i="22" s="1"/>
  <c r="O216" i="22"/>
  <c r="P216" i="22" s="1"/>
  <c r="O95" i="22"/>
  <c r="P95" i="22" s="1"/>
  <c r="O161" i="22"/>
  <c r="P161" i="22" s="1"/>
  <c r="O199" i="22"/>
  <c r="P199" i="22" s="1"/>
  <c r="O90" i="22"/>
  <c r="P90" i="22" s="1"/>
  <c r="O123" i="22"/>
  <c r="P123" i="22" s="1"/>
  <c r="O139" i="22"/>
  <c r="P139" i="22" s="1"/>
  <c r="O211" i="22"/>
  <c r="P211" i="22" s="1"/>
  <c r="O237" i="22"/>
  <c r="P237" i="22" s="1"/>
  <c r="O175" i="22"/>
  <c r="P175" i="22" s="1"/>
  <c r="O217" i="22"/>
  <c r="P217" i="22" s="1"/>
  <c r="O194" i="22"/>
  <c r="P194" i="22" s="1"/>
  <c r="O242" i="22"/>
  <c r="P242" i="22" s="1"/>
  <c r="O71" i="22"/>
  <c r="P71" i="22" s="1"/>
  <c r="O114" i="22"/>
  <c r="P114" i="22" s="1"/>
  <c r="O151" i="22"/>
  <c r="P151" i="22" s="1"/>
  <c r="O187" i="22"/>
  <c r="P187" i="22" s="1"/>
  <c r="O219" i="22"/>
  <c r="P219" i="22" s="1"/>
  <c r="O65" i="22"/>
  <c r="P65" i="22" s="1"/>
  <c r="O125" i="22"/>
  <c r="P125" i="22" s="1"/>
  <c r="O147" i="22"/>
  <c r="P147" i="22" s="1"/>
  <c r="O169" i="22"/>
  <c r="P169" i="22" s="1"/>
  <c r="O66" i="22"/>
  <c r="P66" i="22" s="1"/>
  <c r="O96" i="22"/>
  <c r="P96" i="22" s="1"/>
  <c r="O143" i="22"/>
  <c r="P143" i="22" s="1"/>
  <c r="O191" i="22"/>
  <c r="P191" i="22" s="1"/>
  <c r="O210" i="22"/>
  <c r="P210" i="22" s="1"/>
  <c r="O235" i="22"/>
  <c r="P235" i="22" s="1"/>
  <c r="O112" i="22"/>
  <c r="P112" i="22" s="1"/>
  <c r="O144" i="22"/>
  <c r="P144" i="22" s="1"/>
  <c r="O192" i="22"/>
  <c r="P192" i="22" s="1"/>
  <c r="O218" i="22"/>
  <c r="P218" i="22" s="1"/>
  <c r="O247" i="22"/>
  <c r="P247" i="22" s="1"/>
  <c r="O186" i="22"/>
  <c r="P186" i="22" s="1"/>
  <c r="O67" i="22"/>
  <c r="P67" i="22" s="1"/>
  <c r="O196" i="22"/>
  <c r="P196" i="22" s="1"/>
  <c r="O244" i="22"/>
  <c r="P244" i="22" s="1"/>
  <c r="O92" i="22"/>
  <c r="P92" i="22" s="1"/>
  <c r="O193" i="22"/>
  <c r="P193" i="22" s="1"/>
  <c r="O76" i="22"/>
  <c r="P76" i="22" s="1"/>
  <c r="O126" i="22"/>
  <c r="P126" i="22" s="1"/>
  <c r="O164" i="22"/>
  <c r="P164" i="22" s="1"/>
  <c r="O184" i="22"/>
  <c r="P184" i="22" s="1"/>
  <c r="O239" i="22"/>
  <c r="P239" i="22" s="1"/>
  <c r="O73" i="22"/>
  <c r="P73" i="22" s="1"/>
  <c r="O103" i="22"/>
  <c r="P103" i="22" s="1"/>
  <c r="O149" i="22"/>
  <c r="P149" i="22" s="1"/>
  <c r="O170" i="22"/>
  <c r="P170" i="22" s="1"/>
  <c r="O195" i="22"/>
  <c r="P195" i="22" s="1"/>
  <c r="O240" i="22"/>
  <c r="P240" i="22" s="1"/>
  <c r="O74" i="22"/>
  <c r="P74" i="22" s="1"/>
  <c r="O97" i="22"/>
  <c r="P97" i="22" s="1"/>
  <c r="O117" i="22"/>
  <c r="P117" i="22" s="1"/>
  <c r="O145" i="22"/>
  <c r="P145" i="22" s="1"/>
  <c r="O232" i="22"/>
  <c r="P232" i="22" s="1"/>
  <c r="I31" i="21"/>
  <c r="C10" i="24" s="1"/>
  <c r="O49" i="22"/>
  <c r="P49" i="22" s="1"/>
  <c r="O53" i="22"/>
  <c r="P53" i="22" s="1"/>
  <c r="O41" i="22"/>
  <c r="P41" i="22" s="1"/>
  <c r="O46" i="22"/>
  <c r="P46" i="22" s="1"/>
  <c r="O43" i="22"/>
  <c r="P43" i="22" s="1"/>
  <c r="O54" i="22"/>
  <c r="P54" i="22" s="1"/>
  <c r="O48" i="22"/>
  <c r="P48" i="22" s="1"/>
  <c r="O42" i="22"/>
  <c r="P42" i="22" s="1"/>
  <c r="O51" i="22"/>
  <c r="P51" i="22" s="1"/>
  <c r="O52" i="22"/>
  <c r="P52" i="22" s="1"/>
  <c r="O55" i="22"/>
  <c r="P55" i="22" s="1"/>
  <c r="O47" i="22"/>
  <c r="P47" i="22" s="1"/>
  <c r="O50" i="22"/>
  <c r="P50" i="22" s="1"/>
  <c r="O40" i="22"/>
  <c r="P40" i="22" s="1"/>
  <c r="O45" i="22"/>
  <c r="P45" i="22" s="1"/>
  <c r="O44" i="22"/>
  <c r="P44" i="22" s="1"/>
  <c r="C6" i="24"/>
  <c r="C6" i="16" s="1"/>
  <c r="C5" i="24"/>
  <c r="C5" i="16" s="1"/>
  <c r="P80" i="22" l="1"/>
  <c r="P248" i="22"/>
  <c r="P200" i="22"/>
  <c r="P176" i="22"/>
  <c r="P224" i="22"/>
  <c r="P128" i="22"/>
  <c r="P104" i="22"/>
  <c r="P152" i="22"/>
  <c r="P56" i="22"/>
  <c r="D9" i="10"/>
  <c r="C97" i="16" l="1"/>
  <c r="C96" i="16"/>
  <c r="C95" i="16"/>
  <c r="C94" i="16"/>
  <c r="C93" i="16"/>
  <c r="C92" i="16"/>
  <c r="C83" i="16"/>
  <c r="C84" i="16"/>
  <c r="C85" i="16"/>
  <c r="C86" i="16"/>
  <c r="C87" i="16"/>
  <c r="C88" i="16"/>
  <c r="C82" i="16"/>
  <c r="C79" i="16"/>
  <c r="C73" i="16"/>
  <c r="C72" i="16"/>
  <c r="C70" i="16"/>
  <c r="C69" i="16"/>
  <c r="C68" i="16"/>
  <c r="C67" i="16"/>
  <c r="C66" i="16"/>
  <c r="C65" i="16"/>
  <c r="C51" i="16" l="1"/>
  <c r="C59" i="16" s="1"/>
  <c r="C48" i="16"/>
  <c r="C52" i="16"/>
  <c r="C50" i="16" s="1"/>
  <c r="C61" i="16" s="1"/>
  <c r="C10" i="23"/>
  <c r="C46" i="16"/>
  <c r="C102" i="16" s="1"/>
  <c r="C45" i="16"/>
  <c r="C58" i="16" s="1"/>
  <c r="C44" i="16"/>
  <c r="C62" i="16" s="1"/>
  <c r="C32" i="16"/>
  <c r="C31" i="16"/>
  <c r="C30" i="16"/>
  <c r="C29" i="16"/>
  <c r="C28" i="16"/>
  <c r="C27" i="16"/>
  <c r="C26" i="16"/>
  <c r="C25" i="16"/>
  <c r="C24" i="16"/>
  <c r="C23" i="16"/>
  <c r="C22" i="16"/>
  <c r="C21" i="16"/>
  <c r="C20" i="16"/>
  <c r="C12" i="16"/>
  <c r="C11" i="16"/>
  <c r="C8" i="16"/>
  <c r="C17" i="16" s="1"/>
  <c r="C53" i="24"/>
  <c r="C75" i="16" s="1"/>
  <c r="C54" i="24"/>
  <c r="C77" i="16" s="1"/>
  <c r="C98" i="16"/>
  <c r="C43" i="16"/>
  <c r="C56" i="16" s="1"/>
  <c r="C10" i="16"/>
  <c r="C54" i="16" l="1"/>
  <c r="C57" i="16" s="1"/>
  <c r="C60" i="16"/>
  <c r="C53" i="16"/>
  <c r="C34" i="16"/>
  <c r="D94" i="17" s="1"/>
  <c r="C100" i="16"/>
  <c r="R17" i="22" l="1"/>
  <c r="R18" i="22"/>
  <c r="R19" i="22"/>
  <c r="R20" i="22"/>
  <c r="R21" i="22"/>
  <c r="R22" i="22"/>
  <c r="R23" i="22"/>
  <c r="R24" i="22"/>
  <c r="R25" i="22"/>
  <c r="R26" i="22"/>
  <c r="R27" i="22"/>
  <c r="R28" i="22"/>
  <c r="R29" i="22"/>
  <c r="R30" i="22"/>
  <c r="R31" i="22"/>
  <c r="R16" i="22"/>
  <c r="O23" i="22"/>
  <c r="P23" i="22" s="1"/>
  <c r="O29" i="22" l="1"/>
  <c r="P29" i="22" s="1"/>
  <c r="O21" i="22"/>
  <c r="P21" i="22" s="1"/>
  <c r="O19" i="22"/>
  <c r="P19" i="22" s="1"/>
  <c r="O26" i="22"/>
  <c r="P26" i="22" s="1"/>
  <c r="O31" i="22"/>
  <c r="P31" i="22" s="1"/>
  <c r="O30" i="22"/>
  <c r="P30" i="22" s="1"/>
  <c r="O22" i="22"/>
  <c r="P22" i="22" s="1"/>
  <c r="O28" i="22"/>
  <c r="P28" i="22" s="1"/>
  <c r="O20" i="22"/>
  <c r="P20" i="22" s="1"/>
  <c r="O25" i="22"/>
  <c r="P25" i="22" s="1"/>
  <c r="O17" i="22"/>
  <c r="P17" i="22" s="1"/>
  <c r="O27" i="22"/>
  <c r="P27" i="22" s="1"/>
  <c r="O18" i="22"/>
  <c r="P18" i="22" s="1"/>
  <c r="O16" i="22"/>
  <c r="P16" i="22" s="1"/>
  <c r="O24" i="22"/>
  <c r="P24" i="22" s="1"/>
  <c r="R32" i="22"/>
  <c r="C6" i="22" s="1"/>
  <c r="C49" i="24" l="1"/>
  <c r="C71" i="16" s="1"/>
  <c r="P32" i="22"/>
  <c r="C5" i="22" s="1"/>
  <c r="D32" i="22"/>
  <c r="D33" i="22" s="1"/>
  <c r="C14" i="24" l="1"/>
  <c r="C14" i="16" s="1"/>
  <c r="C9" i="24"/>
  <c r="C9" i="16" s="1"/>
  <c r="D187" i="17" l="1"/>
  <c r="C101" i="16" l="1"/>
  <c r="C7" i="7"/>
  <c r="C13" i="24" s="1"/>
  <c r="C13" i="16" s="1"/>
  <c r="D23" i="17"/>
  <c r="J23" i="17" s="1"/>
  <c r="C38" i="16"/>
  <c r="D8" i="10" l="1"/>
  <c r="D10" i="10"/>
  <c r="D11" i="10"/>
  <c r="D12" i="10"/>
  <c r="D13" i="10"/>
  <c r="D14" i="10"/>
  <c r="D15" i="10"/>
  <c r="D16" i="10"/>
  <c r="D17" i="10"/>
  <c r="D7" i="10"/>
  <c r="D7" i="4"/>
  <c r="D8" i="4"/>
  <c r="D9" i="4"/>
  <c r="D10" i="4"/>
  <c r="D6" i="4"/>
  <c r="D13" i="4" l="1"/>
  <c r="C67" i="24" s="1"/>
  <c r="C91" i="16" s="1"/>
  <c r="D88" i="17"/>
  <c r="D38" i="17" l="1"/>
  <c r="D199" i="17"/>
  <c r="J199" i="17" s="1"/>
  <c r="K199" i="17" s="1"/>
  <c r="B56" i="11" s="1"/>
  <c r="C39" i="16"/>
  <c r="C40" i="16" s="1"/>
  <c r="D109" i="17" s="1"/>
  <c r="J109" i="17" s="1"/>
  <c r="C37" i="16"/>
  <c r="D106" i="17" s="1"/>
  <c r="J106" i="17" s="1"/>
  <c r="K106" i="17" s="1"/>
  <c r="B29" i="11" s="1"/>
  <c r="C36" i="16"/>
  <c r="D103" i="17" s="1"/>
  <c r="J94" i="17"/>
  <c r="K94" i="17" s="1"/>
  <c r="B25" i="11" s="1"/>
  <c r="J88" i="17"/>
  <c r="K88" i="17" s="1"/>
  <c r="B23" i="11" s="1"/>
  <c r="C33" i="16"/>
  <c r="D20" i="10" l="1"/>
  <c r="C4" i="24" s="1"/>
  <c r="C4" i="16" s="1"/>
  <c r="C15" i="16" s="1"/>
  <c r="J103" i="17"/>
  <c r="K103" i="17" s="1"/>
  <c r="B28" i="11" s="1"/>
  <c r="D13" i="17"/>
  <c r="J13" i="17" s="1"/>
  <c r="D204" i="17"/>
  <c r="J204" i="17" s="1"/>
  <c r="K204" i="17" s="1"/>
  <c r="B58" i="11" s="1"/>
  <c r="D201" i="17"/>
  <c r="J201" i="17" s="1"/>
  <c r="K201" i="17" s="1"/>
  <c r="B57" i="11" s="1"/>
  <c r="D193" i="17"/>
  <c r="J193" i="17" s="1"/>
  <c r="K193" i="17" s="1"/>
  <c r="B54" i="11" s="1"/>
  <c r="J187" i="17"/>
  <c r="K187" i="17" s="1"/>
  <c r="B52" i="11" s="1"/>
  <c r="D190" i="17"/>
  <c r="J190" i="17" s="1"/>
  <c r="K190" i="17" s="1"/>
  <c r="B53" i="11" s="1"/>
  <c r="D182" i="17"/>
  <c r="J182" i="17" s="1"/>
  <c r="K182" i="17" s="1"/>
  <c r="B51" i="11" s="1"/>
  <c r="D177" i="17"/>
  <c r="J177" i="17" s="1"/>
  <c r="K177" i="17" s="1"/>
  <c r="B50" i="11" s="1"/>
  <c r="D174" i="17"/>
  <c r="J174" i="17" s="1"/>
  <c r="K174" i="17" s="1"/>
  <c r="B49" i="11" s="1"/>
  <c r="D170" i="17"/>
  <c r="J170" i="17" s="1"/>
  <c r="D167" i="17"/>
  <c r="J167" i="17" s="1"/>
  <c r="K167" i="17" s="1"/>
  <c r="B47" i="11" s="1"/>
  <c r="D164" i="17"/>
  <c r="J164" i="17" s="1"/>
  <c r="K164" i="17" s="1"/>
  <c r="B46" i="11" s="1"/>
  <c r="D161" i="17"/>
  <c r="J161" i="17" s="1"/>
  <c r="K161" i="17" s="1"/>
  <c r="B45" i="11" s="1"/>
  <c r="D158" i="17"/>
  <c r="J158" i="17" s="1"/>
  <c r="K158" i="17" s="1"/>
  <c r="B44" i="11" s="1"/>
  <c r="D153" i="17"/>
  <c r="J153" i="17" s="1"/>
  <c r="K153" i="17" s="1"/>
  <c r="B43" i="11" s="1"/>
  <c r="C105" i="16"/>
  <c r="D150" i="17" s="1"/>
  <c r="J150" i="17" s="1"/>
  <c r="K150" i="17" s="1"/>
  <c r="B42" i="11" s="1"/>
  <c r="C104" i="16"/>
  <c r="D147" i="17" s="1"/>
  <c r="J147" i="17" s="1"/>
  <c r="K147" i="17" s="1"/>
  <c r="B41" i="11" s="1"/>
  <c r="C103" i="16"/>
  <c r="D144" i="17" s="1"/>
  <c r="J144" i="17" s="1"/>
  <c r="K144" i="17" s="1"/>
  <c r="B40" i="11" s="1"/>
  <c r="D141" i="17"/>
  <c r="J141" i="17" s="1"/>
  <c r="K141" i="17" s="1"/>
  <c r="B39" i="11" s="1"/>
  <c r="D138" i="17"/>
  <c r="J138" i="17" s="1"/>
  <c r="K138" i="17" s="1"/>
  <c r="B38" i="11" s="1"/>
  <c r="D130" i="17"/>
  <c r="J130" i="17" s="1"/>
  <c r="K130" i="17" s="1"/>
  <c r="B36" i="11" s="1"/>
  <c r="D114" i="17"/>
  <c r="J114" i="17" s="1"/>
  <c r="K114" i="17" s="1"/>
  <c r="B32" i="11" s="1"/>
  <c r="D112" i="17"/>
  <c r="J112" i="17" s="1"/>
  <c r="K112" i="17" s="1"/>
  <c r="B31" i="11" s="1"/>
  <c r="K109" i="17"/>
  <c r="B30" i="11" s="1"/>
  <c r="D97" i="17"/>
  <c r="J97" i="17" s="1"/>
  <c r="K97" i="17" s="1"/>
  <c r="B26" i="11" s="1"/>
  <c r="D85" i="17"/>
  <c r="J85" i="17" s="1"/>
  <c r="K85" i="17" s="1"/>
  <c r="B22" i="11" s="1"/>
  <c r="D74" i="17"/>
  <c r="J74" i="17" s="1"/>
  <c r="K74" i="17" s="1"/>
  <c r="B19" i="11" s="1"/>
  <c r="D60" i="17"/>
  <c r="J60" i="17" s="1"/>
  <c r="K60" i="17" s="1"/>
  <c r="B15" i="11" s="1"/>
  <c r="D57" i="17"/>
  <c r="J57" i="17" s="1"/>
  <c r="K57" i="17" s="1"/>
  <c r="B14" i="11" s="1"/>
  <c r="D54" i="17"/>
  <c r="J54" i="17" s="1"/>
  <c r="K54" i="17" s="1"/>
  <c r="B13" i="11" s="1"/>
  <c r="K51" i="17"/>
  <c r="B12" i="11" s="1"/>
  <c r="D48" i="17"/>
  <c r="D33" i="17"/>
  <c r="J33" i="17" s="1"/>
  <c r="D18" i="17"/>
  <c r="J18" i="17" s="1"/>
  <c r="D28" i="17"/>
  <c r="J28" i="17" s="1"/>
  <c r="J38" i="17"/>
  <c r="D77" i="17"/>
  <c r="J77" i="17" s="1"/>
  <c r="K77" i="17" s="1"/>
  <c r="B20" i="11" s="1"/>
  <c r="D91" i="17"/>
  <c r="J91" i="17" s="1"/>
  <c r="K91" i="17" s="1"/>
  <c r="B24" i="11" s="1"/>
  <c r="C35" i="16"/>
  <c r="D100" i="17" s="1"/>
  <c r="J100" i="17" s="1"/>
  <c r="K100" i="17" s="1"/>
  <c r="B27" i="11" s="1"/>
  <c r="D80" i="17"/>
  <c r="J80" i="17" s="1"/>
  <c r="K80" i="17" s="1"/>
  <c r="B21" i="11" s="1"/>
  <c r="C99" i="16"/>
  <c r="D120" i="17" s="1"/>
  <c r="J120" i="17" s="1"/>
  <c r="K120" i="17" s="1"/>
  <c r="B34" i="11" s="1"/>
  <c r="K48" i="17" l="1"/>
  <c r="B11" i="11" s="1"/>
  <c r="D117" i="17"/>
  <c r="J117" i="17" s="1"/>
  <c r="K117" i="17" s="1"/>
  <c r="B33" i="11" s="1"/>
  <c r="K170" i="17"/>
  <c r="B48" i="11" s="1"/>
  <c r="D71" i="17"/>
  <c r="J71" i="17" s="1"/>
  <c r="K71" i="17" s="1"/>
  <c r="B18" i="11" s="1"/>
  <c r="D125" i="17"/>
  <c r="J125" i="17" s="1"/>
  <c r="K125" i="17" s="1"/>
  <c r="B35" i="11" s="1"/>
  <c r="K13" i="17"/>
  <c r="B4" i="11" s="1"/>
  <c r="K18" i="17"/>
  <c r="B5" i="11" s="1"/>
  <c r="K33" i="17"/>
  <c r="B8" i="11" s="1"/>
  <c r="K23" i="17"/>
  <c r="B6" i="11" s="1"/>
  <c r="K28" i="17"/>
  <c r="B7" i="11" s="1"/>
  <c r="K38" i="17"/>
  <c r="B9" i="11" s="1"/>
  <c r="F7" i="6" l="1"/>
  <c r="F8" i="6"/>
  <c r="F9" i="6"/>
  <c r="F6" i="6" l="1"/>
  <c r="F10" i="6" s="1"/>
  <c r="F13" i="6" s="1"/>
  <c r="D3" i="17"/>
  <c r="B2" i="11" l="1"/>
  <c r="J3" i="17"/>
  <c r="C56" i="24" l="1"/>
  <c r="C80" i="16" s="1"/>
  <c r="D66" i="17" s="1"/>
  <c r="J66" i="17" s="1"/>
  <c r="K66" i="17" s="1"/>
  <c r="B17" i="11" s="1"/>
  <c r="D63" i="17"/>
  <c r="J63" i="17" s="1"/>
  <c r="K63" i="17" s="1"/>
  <c r="B16" i="11" s="1"/>
  <c r="D135" i="17"/>
  <c r="J135" i="17" s="1"/>
  <c r="K135" i="17" s="1"/>
  <c r="B37" i="11" s="1"/>
  <c r="C52" i="24"/>
  <c r="C74" i="16" s="1"/>
  <c r="C7" i="24"/>
  <c r="C7" i="16" s="1"/>
  <c r="C16" i="16" s="1"/>
  <c r="C76" i="16" l="1"/>
  <c r="C78" i="16" s="1"/>
  <c r="D196" i="17" s="1"/>
  <c r="J196" i="17" s="1"/>
  <c r="K196" i="17" s="1"/>
  <c r="B55" i="11" s="1"/>
  <c r="D43" i="17"/>
  <c r="J43" i="17" s="1"/>
  <c r="K43" i="17" s="1"/>
  <c r="B10" i="11" s="1"/>
  <c r="D8" i="17"/>
  <c r="J8" i="17" s="1"/>
  <c r="K8" i="17" s="1"/>
  <c r="B3"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tmerle</author>
  </authors>
  <commentList>
    <comment ref="W5" authorId="0" shapeId="0" xr:uid="{246E34F2-1FE7-4A4F-8E77-FE5995C02EF6}">
      <text>
        <r>
          <rPr>
            <b/>
            <sz val="8"/>
            <color indexed="81"/>
            <rFont val="Tahoma"/>
            <family val="2"/>
          </rPr>
          <t>tmerle:</t>
        </r>
        <r>
          <rPr>
            <sz val="8"/>
            <color indexed="81"/>
            <rFont val="Tahoma"/>
            <family val="2"/>
          </rPr>
          <t xml:space="preserve">
hypothese : si export des boues impact total ; sinon impact nul ...</t>
        </r>
      </text>
    </comment>
    <comment ref="P41" authorId="0" shapeId="0" xr:uid="{E8900935-3BD7-4707-B006-3C5F353708CD}">
      <text>
        <r>
          <rPr>
            <b/>
            <sz val="8"/>
            <color indexed="81"/>
            <rFont val="Tahoma"/>
            <family val="2"/>
          </rPr>
          <t>tmerle:</t>
        </r>
        <r>
          <rPr>
            <sz val="8"/>
            <color indexed="81"/>
            <rFont val="Tahoma"/>
            <family val="2"/>
          </rPr>
          <t xml:space="preserve">
"Nitrogen transformations and balance in channel catfish ponds" Amit Gross, Claude E.Boyd</t>
        </r>
      </text>
    </comment>
    <comment ref="C138" authorId="0" shapeId="0" xr:uid="{54A5DFFD-E4EE-4BF0-84B3-60BCE8980E1F}">
      <text>
        <r>
          <rPr>
            <b/>
            <sz val="8"/>
            <color indexed="81"/>
            <rFont val="Tahoma"/>
            <family val="2"/>
          </rPr>
          <t>Quantité de MS d'aliment pour produir 1 kg de MS de poisson</t>
        </r>
      </text>
    </comment>
    <comment ref="C139" authorId="0" shapeId="0" xr:uid="{D4269EB8-CC54-4D82-ADF5-F120E6D111C0}">
      <text>
        <r>
          <rPr>
            <b/>
            <sz val="8"/>
            <color indexed="81"/>
            <rFont val="Tahoma"/>
            <family val="2"/>
          </rPr>
          <t>Quantité de déchets produits pour faire 1 kg de poisson</t>
        </r>
      </text>
    </comment>
    <comment ref="C140" authorId="0" shapeId="0" xr:uid="{DA84308A-A332-475A-9814-6C2D73CC7BB2}">
      <text>
        <r>
          <rPr>
            <b/>
            <sz val="8"/>
            <color indexed="81"/>
            <rFont val="Tahoma"/>
            <family val="2"/>
          </rPr>
          <t>Quantité de protéines à apporter pour faire 1 kg de poisson</t>
        </r>
      </text>
    </comment>
    <comment ref="C141" authorId="0" shapeId="0" xr:uid="{97916876-3635-413E-92C8-6ED5D6503949}">
      <text>
        <r>
          <rPr>
            <b/>
            <sz val="8"/>
            <color indexed="81"/>
            <rFont val="Tahoma"/>
            <family val="2"/>
          </rPr>
          <t>tmerle:</t>
        </r>
        <r>
          <rPr>
            <sz val="8"/>
            <color indexed="81"/>
            <rFont val="Tahoma"/>
            <family val="2"/>
          </rPr>
          <t xml:space="preserve">
efficacité de la transformation des protéine de l'aliment en proteine dans le poisson</t>
        </r>
      </text>
    </comment>
  </commentList>
</comments>
</file>

<file path=xl/sharedStrings.xml><?xml version="1.0" encoding="utf-8"?>
<sst xmlns="http://schemas.openxmlformats.org/spreadsheetml/2006/main" count="4813" uniqueCount="1787">
  <si>
    <t>Indicators</t>
  </si>
  <si>
    <t>Input data</t>
  </si>
  <si>
    <t>Calculation</t>
  </si>
  <si>
    <t>Scales</t>
  </si>
  <si>
    <t>On farm energy efficiency</t>
  </si>
  <si>
    <t>Related criteria</t>
  </si>
  <si>
    <t>Quantity of energy used</t>
  </si>
  <si>
    <t>Unit</t>
  </si>
  <si>
    <t>Value</t>
  </si>
  <si>
    <t>MWh</t>
  </si>
  <si>
    <t>Very High</t>
  </si>
  <si>
    <t>High</t>
  </si>
  <si>
    <t>Medium</t>
  </si>
  <si>
    <t>Low</t>
  </si>
  <si>
    <t>Very Low</t>
  </si>
  <si>
    <t>More than 5MWh/T</t>
  </si>
  <si>
    <t>Between 1.5 and 5 MWh/T</t>
  </si>
  <si>
    <t>Between 1 and 1.5 MWh/T</t>
  </si>
  <si>
    <t>Between 0.5 and 1 MWH/T</t>
  </si>
  <si>
    <t>Less than 0.5 MWh/T</t>
  </si>
  <si>
    <t>Total biomass produced</t>
  </si>
  <si>
    <t>kg</t>
  </si>
  <si>
    <t>Quantity of feed used</t>
  </si>
  <si>
    <t>Total feed conversion rate</t>
  </si>
  <si>
    <t>Economic sustainability: Resources productivity 
Environmental sustainability: Feed efficiency</t>
  </si>
  <si>
    <t>More than 2.2</t>
  </si>
  <si>
    <t>Between 1.8 and 2.2</t>
  </si>
  <si>
    <t>Between 1.6 and 1.8</t>
  </si>
  <si>
    <t>Between 1.3 and 1.6</t>
  </si>
  <si>
    <t>Less than 1.3</t>
  </si>
  <si>
    <t>Labour productivity</t>
  </si>
  <si>
    <t xml:space="preserve">Economic sustainability: Resources productivity </t>
  </si>
  <si>
    <t>More than 2</t>
  </si>
  <si>
    <t>Between 1.5 and 2</t>
  </si>
  <si>
    <t>Between 1.25 and 1.5</t>
  </si>
  <si>
    <t>Between 1 and 1.25</t>
  </si>
  <si>
    <t>Less than 1</t>
  </si>
  <si>
    <t>Gross Value Added</t>
  </si>
  <si>
    <t>€</t>
  </si>
  <si>
    <t>Total costs of labour</t>
  </si>
  <si>
    <t>Quantity of biomass lost</t>
  </si>
  <si>
    <t>More than 3</t>
  </si>
  <si>
    <t>Between 1.5 and 3</t>
  </si>
  <si>
    <t>Production loss</t>
  </si>
  <si>
    <t>More than 40%</t>
  </si>
  <si>
    <t>Between 30 and 40%</t>
  </si>
  <si>
    <t>Between 20 and 30%</t>
  </si>
  <si>
    <t>Between 10 and 20%</t>
  </si>
  <si>
    <t>Less than 10%</t>
  </si>
  <si>
    <t>More than 20%</t>
  </si>
  <si>
    <t>Between 4% and 20%</t>
  </si>
  <si>
    <t>Less than 4%</t>
  </si>
  <si>
    <t>Nutritional quality</t>
  </si>
  <si>
    <t>Average sales prices</t>
  </si>
  <si>
    <t>Economic sustainability: Production cost adequacy to sales prices</t>
  </si>
  <si>
    <t>More than 6.5€/kg</t>
  </si>
  <si>
    <t>Between 5.5 and 6.5€/kg</t>
  </si>
  <si>
    <t>Between 4.5 and 5.5€/kg</t>
  </si>
  <si>
    <t>Between 4 and 4.5€/kg</t>
  </si>
  <si>
    <t>Less than 4€/kg</t>
  </si>
  <si>
    <t>Tonne</t>
  </si>
  <si>
    <t>Paid labour costs</t>
  </si>
  <si>
    <t>Economic sustainability: Production cost</t>
  </si>
  <si>
    <t>More than 1€/kg</t>
  </si>
  <si>
    <t>Between 0.8 and 1€/kg</t>
  </si>
  <si>
    <t>Between 0.6 and 0.8</t>
  </si>
  <si>
    <t>Between 0.4 and 0.6€/kg</t>
  </si>
  <si>
    <t>Less than 0.4€/kg</t>
  </si>
  <si>
    <t>kg/kg</t>
  </si>
  <si>
    <t>#</t>
  </si>
  <si>
    <t>%</t>
  </si>
  <si>
    <t>g/100g</t>
  </si>
  <si>
    <t>€/kg</t>
  </si>
  <si>
    <t>Feed costs</t>
  </si>
  <si>
    <t>More than 2€/kg</t>
  </si>
  <si>
    <t>Between 1.7 and 2€/kg</t>
  </si>
  <si>
    <t>Between 1.5 and 1.7€/kg</t>
  </si>
  <si>
    <t>Between 1.3 and 1.5€/kg</t>
  </si>
  <si>
    <t>Less than 1.3€/kg</t>
  </si>
  <si>
    <t>Total feed costs (including fertilizers)</t>
  </si>
  <si>
    <t>Juveniles and seedling costs</t>
  </si>
  <si>
    <t>More than 1.1€/kg</t>
  </si>
  <si>
    <t>Between 0.9 and 1.1€/kg</t>
  </si>
  <si>
    <t>Between 0.7 and 0.9€/kg</t>
  </si>
  <si>
    <t>Between 0.5 and 0.7€/kg</t>
  </si>
  <si>
    <t>Less than 0.5€/kg</t>
  </si>
  <si>
    <t>Juveniles and seedlings costs</t>
  </si>
  <si>
    <t xml:space="preserve">Net Present Value </t>
  </si>
  <si>
    <t>Economic sustainability: Profitability</t>
  </si>
  <si>
    <t>Internal Rate of Return</t>
  </si>
  <si>
    <t>Net Present Value</t>
  </si>
  <si>
    <t>Internal Rate of return</t>
  </si>
  <si>
    <t xml:space="preserve">Subsidies weight </t>
  </si>
  <si>
    <t>Economic sustainability: Economic dependency</t>
  </si>
  <si>
    <t>More than 0.42€/kg</t>
  </si>
  <si>
    <t>Between 0.22 and 0.42€/kg</t>
  </si>
  <si>
    <t>Less than 0.22€/kg</t>
  </si>
  <si>
    <t>Emergy Yield Ratio</t>
  </si>
  <si>
    <t>Environmental sustainability: Use local resources
Economic sustainability: Resources dependency</t>
  </si>
  <si>
    <t>More than 5</t>
  </si>
  <si>
    <t>More than 6</t>
  </si>
  <si>
    <t>More than 5 species</t>
  </si>
  <si>
    <t>Between 2 and 5 species</t>
  </si>
  <si>
    <t>1 specie</t>
  </si>
  <si>
    <t>Number of planned species</t>
  </si>
  <si>
    <t>Biosecurity and good practices</t>
  </si>
  <si>
    <t>Social sustainability: Respect of animal welfare
Economic sustainability: Level of sensitivity to pathology risks
Environmental sustainability: Protection of local fauna and flora</t>
  </si>
  <si>
    <t>Environmental sustainability: Productivity of energy used 
Economic sustainability: Resources productivity</t>
  </si>
  <si>
    <t>Conditions to respect</t>
  </si>
  <si>
    <t>Disinfection or restricted access of visitors or vehicles to the production site</t>
  </si>
  <si>
    <t>Disinfection or application of a quarantine for juveniles and new plants</t>
  </si>
  <si>
    <t>Disinfection or drying up procedures at the end of the production cycle</t>
  </si>
  <si>
    <t>Existence of disinfected barriers for employees to access to the production site and to between compartments of the system</t>
  </si>
  <si>
    <t>Existence of specific equipment to disinfect inflow water</t>
  </si>
  <si>
    <t xml:space="preserve"> 2 or 3</t>
  </si>
  <si>
    <t xml:space="preserve"> 0 or 1</t>
  </si>
  <si>
    <t>Final score</t>
  </si>
  <si>
    <t>Score</t>
  </si>
  <si>
    <t xml:space="preserve">Resistance to environmental constraints </t>
  </si>
  <si>
    <t>Economic sustainability: Vulnerability</t>
  </si>
  <si>
    <t>Category of environmental constraints</t>
  </si>
  <si>
    <t>Probability of occurrence</t>
  </si>
  <si>
    <t>Severity</t>
  </si>
  <si>
    <t>Natural hazards such as drought, flood, storm …</t>
  </si>
  <si>
    <t>Pollution or contamination of inlet water</t>
  </si>
  <si>
    <t>Pathogens introduction</t>
  </si>
  <si>
    <t>Predators</t>
  </si>
  <si>
    <t>Probability of occurrence * Severity</t>
  </si>
  <si>
    <t>Sheet 2</t>
  </si>
  <si>
    <t>Sheet 3</t>
  </si>
  <si>
    <t>Specialization rate</t>
  </si>
  <si>
    <t>More than 80%</t>
  </si>
  <si>
    <t>Between 50 and 80%</t>
  </si>
  <si>
    <t>Less than 50%</t>
  </si>
  <si>
    <t>Main product turnover</t>
  </si>
  <si>
    <t>Independence towards suppliers</t>
  </si>
  <si>
    <t>Economic sustainability: Resistance to commercial risks</t>
  </si>
  <si>
    <t>Independence towards customers</t>
  </si>
  <si>
    <t>Income derived from the biggest customer</t>
  </si>
  <si>
    <t>More than 50%</t>
  </si>
  <si>
    <t>Between 25 % and 50%</t>
  </si>
  <si>
    <t>Less than 25%</t>
  </si>
  <si>
    <t>Fish in Fish out Ratio</t>
  </si>
  <si>
    <t>Environmental sustainability: Use sustainable resources for feed
Economic sustainability: Resistance to commercial risks</t>
  </si>
  <si>
    <t>Between 4.5 and 6</t>
  </si>
  <si>
    <t>Between 3 and 4.5</t>
  </si>
  <si>
    <t>Less than 1.5</t>
  </si>
  <si>
    <t>Fish In Fish Out Ratio</t>
  </si>
  <si>
    <t>Sheet 4</t>
  </si>
  <si>
    <t>Food to Gain Ratio (equivalent FCR)</t>
  </si>
  <si>
    <t>FIFO Ratio calculation</t>
  </si>
  <si>
    <t>Interactions with professional institutions</t>
  </si>
  <si>
    <t>Social sustainability: Quality of the relationship with professional institutions</t>
  </si>
  <si>
    <t>Professional involvement</t>
  </si>
  <si>
    <t>Between 1 to 4</t>
  </si>
  <si>
    <t>No participation</t>
  </si>
  <si>
    <t>Workload</t>
  </si>
  <si>
    <t>Social sustainability: Guarantee of staff protection and fulfilment</t>
  </si>
  <si>
    <t>More than 2200h</t>
  </si>
  <si>
    <t>Between 1600 and 2200h</t>
  </si>
  <si>
    <t>Less than 1600h</t>
  </si>
  <si>
    <t>h/FTE/year</t>
  </si>
  <si>
    <t xml:space="preserve">Health and safety </t>
  </si>
  <si>
    <t>Number of full time equivalent</t>
  </si>
  <si>
    <t>h/year</t>
  </si>
  <si>
    <t># days/year</t>
  </si>
  <si>
    <t xml:space="preserve">Job difficulty appreciation </t>
  </si>
  <si>
    <t>NU</t>
  </si>
  <si>
    <t>Labour remuneration</t>
  </si>
  <si>
    <t>Working status</t>
  </si>
  <si>
    <t>Social sustainability: Conditions of employment</t>
  </si>
  <si>
    <t>Between 60 and 80%</t>
  </si>
  <si>
    <t>Less than 60%</t>
  </si>
  <si>
    <t>Total number of employees per year</t>
  </si>
  <si>
    <t>Number of qualified employees</t>
  </si>
  <si>
    <t>More than 30%</t>
  </si>
  <si>
    <t>Between 10 and 30%</t>
  </si>
  <si>
    <t>Education level</t>
  </si>
  <si>
    <t>Gender equality</t>
  </si>
  <si>
    <t>Number of women workers</t>
  </si>
  <si>
    <t>More than 30% with no difference of salary between gender</t>
  </si>
  <si>
    <t>Social sustainability: Respect animal welfare</t>
  </si>
  <si>
    <t>Fish physical damages</t>
  </si>
  <si>
    <t>(Number of fish with skin or fin damages or deformities)/(Total number of fish sampled)</t>
  </si>
  <si>
    <t>Stocking density</t>
  </si>
  <si>
    <t>More than 45 kg/m³</t>
  </si>
  <si>
    <t>Between 22 and 45 kg/m³</t>
  </si>
  <si>
    <t>Less than 22kg/m³</t>
  </si>
  <si>
    <t>Social sustainability: Contribution to food security</t>
  </si>
  <si>
    <t>Monthly average salary of workers</t>
  </si>
  <si>
    <t>Monthly basic wages of the country</t>
  </si>
  <si>
    <t>More than 1.5</t>
  </si>
  <si>
    <t>Between 1 and 1.5</t>
  </si>
  <si>
    <t xml:space="preserve">Accessibility of products </t>
  </si>
  <si>
    <t>More than 6.5</t>
  </si>
  <si>
    <t>Between 5.5 and 6.5</t>
  </si>
  <si>
    <t>Between 4.5 and 5.5</t>
  </si>
  <si>
    <t>Between 4 and 4.5</t>
  </si>
  <si>
    <t>Less than 4</t>
  </si>
  <si>
    <t xml:space="preserve">Contribution to employment </t>
  </si>
  <si>
    <t>Social sustainability: Contribution to the local development</t>
  </si>
  <si>
    <t>FTE/100000€</t>
  </si>
  <si>
    <t>Feedstuff locally produced</t>
  </si>
  <si>
    <t>More than 60%</t>
  </si>
  <si>
    <t>Between 40 and 60%</t>
  </si>
  <si>
    <t>Less than 40%</t>
  </si>
  <si>
    <t>Education contribution</t>
  </si>
  <si>
    <t>Environmental sustainability: Use local resources
Social sustainability: Contribution to the local development</t>
  </si>
  <si>
    <t xml:space="preserve">Health costs </t>
  </si>
  <si>
    <t>Costs of chemicals</t>
  </si>
  <si>
    <t>Environmental sustainability: Negative local impact on ecosystems</t>
  </si>
  <si>
    <t>More than 0.06€/kg</t>
  </si>
  <si>
    <t>Between 0.04 and 0.06€/kg</t>
  </si>
  <si>
    <t>Less than 0.04€/kg</t>
  </si>
  <si>
    <t>Total Nitrogen emissions</t>
  </si>
  <si>
    <t>More than 94kg/T</t>
  </si>
  <si>
    <t>Between 40 and 94 kg/T</t>
  </si>
  <si>
    <t>Less than 40 kg/T</t>
  </si>
  <si>
    <t>Suspended solid emissions</t>
  </si>
  <si>
    <t>More than 405kg/T</t>
  </si>
  <si>
    <t>Between 57 and 405 kg/T</t>
  </si>
  <si>
    <t>Less than 57 kg/T</t>
  </si>
  <si>
    <t>Quantity of total nitrogen released</t>
  </si>
  <si>
    <t>Quantity of suspended solid released</t>
  </si>
  <si>
    <t>On farm ground surface used</t>
  </si>
  <si>
    <t>More than 4 m²/T</t>
  </si>
  <si>
    <t>Between 0.2 and 4 m²/T</t>
  </si>
  <si>
    <t>Less than 0.2m²/T</t>
  </si>
  <si>
    <t>m²</t>
  </si>
  <si>
    <t>Global warming potential</t>
  </si>
  <si>
    <t>Environmental sustainability: Negative global impact on ecosystems</t>
  </si>
  <si>
    <t>Acidification potential</t>
  </si>
  <si>
    <t>Eutrophication potential</t>
  </si>
  <si>
    <t>More than 35kg/T</t>
  </si>
  <si>
    <t>Between 15 and 35kg/T</t>
  </si>
  <si>
    <t>Less than 15kg/T</t>
  </si>
  <si>
    <t>More than 70kg/T</t>
  </si>
  <si>
    <t>Between 35 and 70kg/T</t>
  </si>
  <si>
    <t>Less than 35kg/T</t>
  </si>
  <si>
    <t>Environmental sustainability: Use sustainable natural resources</t>
  </si>
  <si>
    <t>Percentage of renewability (%R)</t>
  </si>
  <si>
    <t>Percentage of wild juveniles and plants used</t>
  </si>
  <si>
    <t>Between 10 and 50%</t>
  </si>
  <si>
    <t>Water demand</t>
  </si>
  <si>
    <t>Environmental sustainability: To limit the use of resources</t>
  </si>
  <si>
    <t>m³/kg</t>
  </si>
  <si>
    <t>More than 125m³/kg</t>
  </si>
  <si>
    <t>Less than 1m³/kg</t>
  </si>
  <si>
    <t>Net primary production use</t>
  </si>
  <si>
    <t xml:space="preserve">kg C éq/kg </t>
  </si>
  <si>
    <t>More than 85kg/kg</t>
  </si>
  <si>
    <t>Between 15 and 85 kg/kg</t>
  </si>
  <si>
    <t>Less than 15kg/kg</t>
  </si>
  <si>
    <t>Global land competition</t>
  </si>
  <si>
    <t>More than 5500m²/T</t>
  </si>
  <si>
    <t>Total cumulative energy demand</t>
  </si>
  <si>
    <t>More than 110GJ/T</t>
  </si>
  <si>
    <t>Between 70 and 110 GJ/T</t>
  </si>
  <si>
    <t>Between 45 and 70 GJ/T</t>
  </si>
  <si>
    <t>Between 30 and 45 GJ/T</t>
  </si>
  <si>
    <t>Less than 30GJ/T</t>
  </si>
  <si>
    <t>Environmental sustainability: Limit production wastes and increase recycling</t>
  </si>
  <si>
    <t>Percentage of renewable energy used</t>
  </si>
  <si>
    <t>Less than 20%</t>
  </si>
  <si>
    <t>Nitrogen use efficiency</t>
  </si>
  <si>
    <t>Environmental sustainability: Feed efficiency</t>
  </si>
  <si>
    <t>Between 15 and 30%</t>
  </si>
  <si>
    <t>Less than 15%</t>
  </si>
  <si>
    <t>Quantity of nitrogen used in input</t>
  </si>
  <si>
    <t>Predator control</t>
  </si>
  <si>
    <t>Environmental sustainability: Protection of local fauna and flora species</t>
  </si>
  <si>
    <t>Number of trophic levels</t>
  </si>
  <si>
    <t>Environmental sustainability: To foster polyculture and integration of natural cycles</t>
  </si>
  <si>
    <t>Economic sustainability: Level of sensitivity to pathology risks
Environmental sustainability: To foster polyculture and integration of natural cycles</t>
  </si>
  <si>
    <t>3 trophic levels or more</t>
  </si>
  <si>
    <t>2 trophic levels</t>
  </si>
  <si>
    <t>1 trophic level</t>
  </si>
  <si>
    <t>Escapees management</t>
  </si>
  <si>
    <t>Environmental sustainability: Maintenance of genetic diversity</t>
  </si>
  <si>
    <t>Multi-trophic integration</t>
  </si>
  <si>
    <t>Production diversification</t>
  </si>
  <si>
    <t>More than 4%</t>
  </si>
  <si>
    <t>Between 0.5% and 4%</t>
  </si>
  <si>
    <t>Less than 0.5%</t>
  </si>
  <si>
    <t>Percentage of escapees per year</t>
  </si>
  <si>
    <t>KWh</t>
  </si>
  <si>
    <t>Less than 1,1</t>
  </si>
  <si>
    <t>Between 1,1 and 2</t>
  </si>
  <si>
    <t>m³</t>
  </si>
  <si>
    <t>Liquid oxygen</t>
  </si>
  <si>
    <t>Energy consumption in KWh/Unit</t>
  </si>
  <si>
    <t>Fuel</t>
  </si>
  <si>
    <t>litre</t>
  </si>
  <si>
    <t>Electricity</t>
  </si>
  <si>
    <t>Gas oxygen</t>
  </si>
  <si>
    <t>tonne</t>
  </si>
  <si>
    <t>Diesel or petrol</t>
  </si>
  <si>
    <t>Natural liquid gas</t>
  </si>
  <si>
    <t>Between 20 and 40%</t>
  </si>
  <si>
    <t>Between 20% to 50%</t>
  </si>
  <si>
    <t>Economic sustainability: Resistance to commercial risks
Social sustainability: Quality of the relationship with suppliers and customers</t>
  </si>
  <si>
    <t>ton CO2 eq. / ton</t>
  </si>
  <si>
    <t>kg SO2 eq. / Ton</t>
  </si>
  <si>
    <t>kg PO43- éq/Ton</t>
  </si>
  <si>
    <t>m²/Ton</t>
  </si>
  <si>
    <t>MWh/Ton</t>
  </si>
  <si>
    <t>Ton of Dry Matter/FTE</t>
  </si>
  <si>
    <t>kg/Ton</t>
  </si>
  <si>
    <t>GJ/Ton</t>
  </si>
  <si>
    <t>Between 2 and 4.5 T/T</t>
  </si>
  <si>
    <t>Between 4.5 and 6 T/T</t>
  </si>
  <si>
    <t>Between 6 and 8 T/T</t>
  </si>
  <si>
    <t>More than 8 T/T</t>
  </si>
  <si>
    <t>Between  800 and 1500m²/T</t>
  </si>
  <si>
    <t>Less than 800m²/T</t>
  </si>
  <si>
    <t>Between 1500 and 2500 m²/T</t>
  </si>
  <si>
    <t>More than 17,5 T/FTE</t>
  </si>
  <si>
    <t>Between 7,5 and 12,5 T/FTE</t>
  </si>
  <si>
    <t>Between 12,5 and 17,5 T/FTE</t>
  </si>
  <si>
    <t>Between 2,5 and 7,5 T/FTE</t>
  </si>
  <si>
    <t>Less than 2,5 T/FTE</t>
  </si>
  <si>
    <t>Thresholds values proposed</t>
  </si>
  <si>
    <t>Comments about thresholds</t>
  </si>
  <si>
    <t>System 1 evaluation</t>
  </si>
  <si>
    <t>Employment of worker with handicap</t>
  </si>
  <si>
    <t>Yes</t>
  </si>
  <si>
    <t>No</t>
  </si>
  <si>
    <t xml:space="preserve">Assured supply of food products </t>
  </si>
  <si>
    <t>Assured supply of food products</t>
  </si>
  <si>
    <t>Percentage of renewability</t>
  </si>
  <si>
    <t>Percentage of nitrogen derived from co-products</t>
  </si>
  <si>
    <t>Percentage of phosphorus recovered</t>
  </si>
  <si>
    <t>Acceptable</t>
  </si>
  <si>
    <t>Not acceptable</t>
  </si>
  <si>
    <t>Less than 2T/T</t>
  </si>
  <si>
    <t>Between 2500 and 5500 m²/T</t>
  </si>
  <si>
    <t>Health and safety</t>
  </si>
  <si>
    <t>Sheet 1</t>
  </si>
  <si>
    <t>WORKING CONDITIONS</t>
  </si>
  <si>
    <t>Employment of workers with handicap</t>
  </si>
  <si>
    <t>Yes or No</t>
  </si>
  <si>
    <t>ECONOMIC INFORMATION</t>
  </si>
  <si>
    <t>LCA RESULTS</t>
  </si>
  <si>
    <t>ENVIRONMENTAL INFORMATION</t>
  </si>
  <si>
    <t>INPUT-OUTPUT INFORMATION</t>
  </si>
  <si>
    <t>OTHER INFORMATION</t>
  </si>
  <si>
    <t>Details</t>
  </si>
  <si>
    <t>How to calculate</t>
  </si>
  <si>
    <t>LCA Results</t>
  </si>
  <si>
    <t>Average sales price of products</t>
  </si>
  <si>
    <t>MWh/t</t>
  </si>
  <si>
    <t>Rate of specialization</t>
  </si>
  <si>
    <t>Interactions with professionnal institutions</t>
  </si>
  <si>
    <t>Option 1</t>
  </si>
  <si>
    <t>Only one interaction (or less) with one actor of the sector per year (option 1)</t>
  </si>
  <si>
    <t>More than one interactions with one actor of the sector per year (option 2)</t>
  </si>
  <si>
    <t>More than one interactions with several actors of the sector per year (option 3)</t>
  </si>
  <si>
    <t>The system is not complex and can be easily manage (option 1)</t>
  </si>
  <si>
    <t>The system is quite complex but does not lead to constant stress situation (option 2)</t>
  </si>
  <si>
    <t>The system is complex and requires a constant attention which is stressful (option 3)</t>
  </si>
  <si>
    <t>Job difficulty appreciation</t>
  </si>
  <si>
    <t>Option 2</t>
  </si>
  <si>
    <t>The system is not complex and can be easily manage (option 1) 
The system is quite complex but does not lead to constant stress situation (option 2) 
The system is complex and requires a constant attention which is stressful (option 3)</t>
  </si>
  <si>
    <t xml:space="preserve">Fish physical damage </t>
  </si>
  <si>
    <t>Only one interaction (or less) with one actor of the sector per year (option 1) 
More than one interactions with one actor of the sector per year (option 2) 
More than one interactions with several actors of the sector per year (option 3)</t>
  </si>
  <si>
    <t>kg/m3</t>
  </si>
  <si>
    <t>Accessibility of products</t>
  </si>
  <si>
    <t>Contribution to employment</t>
  </si>
  <si>
    <t>At least one trainee hired and [at least one educational tour or at least one presentation to students] (option 1) 
At least one trainee hired or at least one educational tour or at least one presentation to students (option 2) 
No trainee hired and no educational tour nor presentation to students (option 3)</t>
  </si>
  <si>
    <t>At least one trainee hired and [at least one educational tour or at least one presentation to students] (option 1)</t>
  </si>
  <si>
    <t>At least one trainee hired or at least one educational tour or at least one presentation to students (option2)</t>
  </si>
  <si>
    <t>No trainee hired and no educational tour nor presentation to students (option 3)</t>
  </si>
  <si>
    <t>kg/ton</t>
  </si>
  <si>
    <t>Suspended solid emissions by ton of biomass</t>
  </si>
  <si>
    <t xml:space="preserve">Total nitrogen emissions by ton of biomass </t>
  </si>
  <si>
    <t>m²/ton</t>
  </si>
  <si>
    <t>Use of lethal predator control (option 1)
Non-use of lethal predator control (option 2)</t>
  </si>
  <si>
    <t>Use of lethal predator control (option 1)</t>
  </si>
  <si>
    <t>Non-use of lethal predator control (option 2)</t>
  </si>
  <si>
    <t>Total energy used by the system (electricity, fuel, hydrogen, etc.)</t>
  </si>
  <si>
    <t>Quantity of dead or discarded biomass per year in kg</t>
  </si>
  <si>
    <t>Total quantity of feed used per year in kg</t>
  </si>
  <si>
    <t>Not considering present but not-planned species</t>
  </si>
  <si>
    <t xml:space="preserve">Number of trophic levels considering planned species </t>
  </si>
  <si>
    <t>Describes dependence of the system on wild fish resources</t>
  </si>
  <si>
    <t>Total energy used in MWh by year by ton of biomass produced</t>
  </si>
  <si>
    <t>Quantity of feed used/Quantity of biomass produced</t>
  </si>
  <si>
    <t>Quantity of biomass lost/Quantity of biomass produced</t>
  </si>
  <si>
    <t>Total number of hours worked per year</t>
  </si>
  <si>
    <t>Cumulate number of hours worked per year by all employees</t>
  </si>
  <si>
    <t>Total</t>
  </si>
  <si>
    <t>Sum of all monthly salaries (including owners) / Number of full time equivalent</t>
  </si>
  <si>
    <t>Average number of hours worked per year per full-time equivalent</t>
  </si>
  <si>
    <t>Average monthly salary compared to national average</t>
  </si>
  <si>
    <t>Percentage of qualified employees</t>
  </si>
  <si>
    <t>Percentage of fixed-term employees</t>
  </si>
  <si>
    <t>Sheet 7</t>
  </si>
  <si>
    <t>Cumulate salaries per year</t>
  </si>
  <si>
    <t>Yearly cost of juveniles and seedlings</t>
  </si>
  <si>
    <t>Yearly cost of feed and fertilizers</t>
  </si>
  <si>
    <t>Yearly cost of chemicals</t>
  </si>
  <si>
    <t>Income (without subsidies) derived from the biggest customer</t>
  </si>
  <si>
    <t>Expected future cash flows discounted at the appropriate discount rate</t>
  </si>
  <si>
    <t>Discount rate at which the discounted benefits are equal to the discounted costs, determining a net present value equal to zero</t>
  </si>
  <si>
    <t>Yearly subsidies received</t>
  </si>
  <si>
    <t>Gross added value / Total costs of labour</t>
  </si>
  <si>
    <t>Total costs of labour / Biomass produced</t>
  </si>
  <si>
    <t>Juvenile and seedling costs / Biomass produced</t>
  </si>
  <si>
    <t>Subsidies / Biomass produced</t>
  </si>
  <si>
    <t>Main product turnover / Total turnover</t>
  </si>
  <si>
    <t>Income from the biggest customer / Total turnover</t>
  </si>
  <si>
    <t>Emergy released (used up) per unit invested</t>
  </si>
  <si>
    <t>Percentage of renewable emergy used by the system</t>
  </si>
  <si>
    <t>Quantity of nitrogen released by the system in a year</t>
  </si>
  <si>
    <t>Quantity of suspended solid released by the system in a year</t>
  </si>
  <si>
    <t>Surface of local land used by the system in m²</t>
  </si>
  <si>
    <t>Quantity of nitrogen derived from co-products / Total nitrogen used</t>
  </si>
  <si>
    <t>Quantity of phosphorus recycled by organism reared in the system / Total phosphorus produced</t>
  </si>
  <si>
    <t>Quantity of renewable energy used / Total energy used</t>
  </si>
  <si>
    <t>Total of Probability * Severity</t>
  </si>
  <si>
    <t>kg C éq</t>
  </si>
  <si>
    <t>kg SO2 eq</t>
  </si>
  <si>
    <t>kg CO2 eq</t>
  </si>
  <si>
    <t xml:space="preserve">kg PO43- éq </t>
  </si>
  <si>
    <t>GJ</t>
  </si>
  <si>
    <t>Total water used by functional unit (reference quantity of the system)</t>
  </si>
  <si>
    <t>Net primary production used by functional unit (reference quantity of the system)</t>
  </si>
  <si>
    <t>Total GHG emissions by functional unit (reference quantity of the system)</t>
  </si>
  <si>
    <t>Total acidifaction emissions by functional unit (reference quantity of the system)</t>
  </si>
  <si>
    <t>Total eutophication emissions by functional unit (reference quantity of the system)</t>
  </si>
  <si>
    <t>Land used by functional unit (reference quantity of the system)</t>
  </si>
  <si>
    <t>Energy used by functional unit (reference quantity of the system)</t>
  </si>
  <si>
    <t>Number of practices applied</t>
  </si>
  <si>
    <t>Dry matter produced / Number of FTE</t>
  </si>
  <si>
    <t>Average price compared to national average income</t>
  </si>
  <si>
    <t>Number of FTE for 100 000 € of turnover</t>
  </si>
  <si>
    <t>Nitrogen released compared to total biomass produced</t>
  </si>
  <si>
    <t>Suspended solid released compared to total biomass produced</t>
  </si>
  <si>
    <t>Surface used compared to total biomass produced</t>
  </si>
  <si>
    <t>Option 3</t>
  </si>
  <si>
    <t>Total feed cost / Biomass produced</t>
  </si>
  <si>
    <t>Choice between options</t>
  </si>
  <si>
    <t>CONVERSION TABLE</t>
  </si>
  <si>
    <t>Electricity (kWh)</t>
  </si>
  <si>
    <t>Diesel (L)</t>
  </si>
  <si>
    <t>Liquid oxygen (m³)</t>
  </si>
  <si>
    <t>Fuel (L)</t>
  </si>
  <si>
    <t>Gas oxygen (m³)</t>
  </si>
  <si>
    <t>Natural Liquid Gas (m³)</t>
  </si>
  <si>
    <t>Conversion in kWh</t>
  </si>
  <si>
    <t>Liquid oxygen (t)</t>
  </si>
  <si>
    <t>Total energy in MWh</t>
  </si>
  <si>
    <t>Quantity used by the system</t>
  </si>
  <si>
    <t>Name of the system</t>
  </si>
  <si>
    <t>Brief description</t>
  </si>
  <si>
    <t>Reared species</t>
  </si>
  <si>
    <t>Total Yearly Production (kg)</t>
  </si>
  <si>
    <t>Comments</t>
  </si>
  <si>
    <t xml:space="preserve">For each category of environmental constraints, appreciate the probability of occurrence (0 never, 1 low, 2 sometimes, 3 often) and the severity (1 low to 3 high). </t>
  </si>
  <si>
    <t>Yield of fish oil from wild fish (%)</t>
  </si>
  <si>
    <t>Professionnel Involvment</t>
  </si>
  <si>
    <t>System Code</t>
  </si>
  <si>
    <t>Location (FR, MT, IT, TR, DE, etc.)</t>
  </si>
  <si>
    <t>Design (IMTA, REFM, etc.)</t>
  </si>
  <si>
    <t>Order N° (01, 02, 03, etc.)</t>
  </si>
  <si>
    <t>Country code of the system location</t>
  </si>
  <si>
    <t>Design code (IMTA for Integrated Multi-trophic Aquaculture, REFM for Reference Monoculture, etc.)</t>
  </si>
  <si>
    <t>Order of the configuration</t>
  </si>
  <si>
    <t>Automatically filled</t>
  </si>
  <si>
    <t>Explicit designation</t>
  </si>
  <si>
    <t>(Y/N)</t>
  </si>
  <si>
    <t>Please indicate in column C if the condition is respected or not</t>
  </si>
  <si>
    <t>Please fill column C with the amounts of each energy type used by your system. If other types of energy sources or used, fill a blank line in table 1 and complete the conversion table with associated value.</t>
  </si>
  <si>
    <t>Piece</t>
  </si>
  <si>
    <t xml:space="preserve">Gas cylinder Butane 13kg </t>
  </si>
  <si>
    <t xml:space="preserve">Gas cylinder Proprane 13kg </t>
  </si>
  <si>
    <t>Gas cylinder Butane 13kg (Piece)</t>
  </si>
  <si>
    <t>Gas cylinder Proprane 13kg  (Piece)</t>
  </si>
  <si>
    <t>Level of Fish oil in feed (%)</t>
  </si>
  <si>
    <t>Final Score</t>
  </si>
  <si>
    <t>Yes (if at least one worker with handicap during the last 5 years)</t>
  </si>
  <si>
    <t xml:space="preserve">Feed </t>
  </si>
  <si>
    <t>Seedlings</t>
  </si>
  <si>
    <t>Juveniles</t>
  </si>
  <si>
    <t>Energy</t>
  </si>
  <si>
    <t>Percentage</t>
  </si>
  <si>
    <t>Ponderation</t>
  </si>
  <si>
    <t>Sheet 8</t>
  </si>
  <si>
    <t>Number of permanent contract employees per year</t>
  </si>
  <si>
    <t>Monthly average salary of men</t>
  </si>
  <si>
    <t>Monthly average salary of women</t>
  </si>
  <si>
    <t>Difference of salary between men and women</t>
  </si>
  <si>
    <t>Employment of women</t>
  </si>
  <si>
    <t>The system employs women (at least 30%) and pays them as men (option 1)
The system employs women (at least 30%) less paid than men (option 2)
The system does not employ enough women (less than 30%) (option 3)</t>
  </si>
  <si>
    <t>More than 30% with difference of salary between gender</t>
  </si>
  <si>
    <t>Less than 30% or difference of salary between gender</t>
  </si>
  <si>
    <t>Tunover (if available)</t>
  </si>
  <si>
    <t xml:space="preserve">Number of participations to seminars or professional meetings per employee per year </t>
  </si>
  <si>
    <t>More than 1.2 FTE/100000€</t>
  </si>
  <si>
    <t>Between 0.9 and 1.2 FTE/100000€</t>
  </si>
  <si>
    <t>Between 0.7 and 0.9 FTE/100000€</t>
  </si>
  <si>
    <t>Between 0.4 and 0.7 FTE/100000€</t>
  </si>
  <si>
    <t>Less than 0.4 FTE/100000€</t>
  </si>
  <si>
    <t>Adapted from (Kaushik et Troell 2010)</t>
  </si>
  <si>
    <t>"The amount of fish oil in the diet is calculated back to forage fish live weight by using a 5% yield of fish oil for fish originating from Peru, Chile and the Gulf of Mexico, and a 7% yield of fish oil for fish originating from the North Atlantic."</t>
  </si>
  <si>
    <t>from (Ytrestøyl, Aas, et Åsgård 2015</t>
  </si>
  <si>
    <t>Quantity of nitrogen recovered in output biomass</t>
  </si>
  <si>
    <t>Quantity of nitrogen contained in the output biomass</t>
  </si>
  <si>
    <t>Percentage of feed produced in the country</t>
  </si>
  <si>
    <t>Subsidies received per year</t>
  </si>
  <si>
    <t>Quantity of nitrogen brought to the system contained in the inputs (feedstuff and stocked biomass mainly)</t>
  </si>
  <si>
    <t>FEED COMPONENTS CHOICE</t>
  </si>
  <si>
    <t>INCORPORATION  IN FEED (%)</t>
  </si>
  <si>
    <t>COMPONENT 1</t>
  </si>
  <si>
    <t>COMPONENT2</t>
  </si>
  <si>
    <t>COMPONENT 3</t>
  </si>
  <si>
    <t>COMPONENT 4</t>
  </si>
  <si>
    <t>COMPONENT 5</t>
  </si>
  <si>
    <t>COMPONENT 6</t>
  </si>
  <si>
    <t>Considered as a co-products ?</t>
  </si>
  <si>
    <t>COMPONENT 7</t>
  </si>
  <si>
    <t>COMPONENT 8</t>
  </si>
  <si>
    <t>COMPONENT 9</t>
  </si>
  <si>
    <t>COMPONENT 10</t>
  </si>
  <si>
    <t>Feeds</t>
  </si>
  <si>
    <t>Source</t>
  </si>
  <si>
    <t>Piscentool</t>
  </si>
  <si>
    <t>Between 1 and 10 m³/kg</t>
  </si>
  <si>
    <t>Between 10 and 125 m³/kg</t>
  </si>
  <si>
    <t>01 - Common eel (Anguille commune )</t>
  </si>
  <si>
    <t>Anguilla anguilla</t>
  </si>
  <si>
    <t>02 - Japanese eel (Anguille japonaise)</t>
  </si>
  <si>
    <t>Anguilla japonica</t>
  </si>
  <si>
    <t>03 - Aspe</t>
  </si>
  <si>
    <t>Aspius aspius</t>
  </si>
  <si>
    <t>05 - Common bream (Brème commune)</t>
  </si>
  <si>
    <t>Abramis brama</t>
  </si>
  <si>
    <t>06 - Silver carp (Carpe argentée)</t>
  </si>
  <si>
    <t>Hypophtalmichthys molitrix</t>
  </si>
  <si>
    <t>07 - Common carp (Carpe commune)</t>
  </si>
  <si>
    <t>Cyprinus carpio</t>
  </si>
  <si>
    <t>08 - Grass carp (Carpe herbivore)</t>
  </si>
  <si>
    <t>Ctenopharyngodon idella</t>
  </si>
  <si>
    <t>09 - Indian carp (Carpe indienne)</t>
  </si>
  <si>
    <t>Catla catla</t>
  </si>
  <si>
    <t>10 - Cascudo</t>
  </si>
  <si>
    <t>Hypostomus guacari</t>
  </si>
  <si>
    <t>11 - Whitefish (Corégone)</t>
  </si>
  <si>
    <t>Coregonus albula</t>
  </si>
  <si>
    <t>12 - Siberian sturgeon (Esturgeon sibérien)</t>
  </si>
  <si>
    <t>Acipenser baeri</t>
  </si>
  <si>
    <t>13 - Roache (Gardon)</t>
  </si>
  <si>
    <t>Rutilus rutilus</t>
  </si>
  <si>
    <t>14 - Pike (Grand brochet)</t>
  </si>
  <si>
    <t>Esox lucius</t>
  </si>
  <si>
    <t>15 - Gourami</t>
  </si>
  <si>
    <t>Gurami gurami</t>
  </si>
  <si>
    <t>16 - Pangasius</t>
  </si>
  <si>
    <t>Pangasius hypophthalmus</t>
  </si>
  <si>
    <t>17 - Perch (Perche commune)</t>
  </si>
  <si>
    <t>Perca fluviatilis</t>
  </si>
  <si>
    <t>18 - Zander (Sandre)</t>
  </si>
  <si>
    <t>Stizostedion luciop,</t>
  </si>
  <si>
    <t>19 - Farmed salmon (Saumon d'élevage)</t>
  </si>
  <si>
    <t>Salmo salar</t>
  </si>
  <si>
    <t>20 - Catfish (Silure)</t>
  </si>
  <si>
    <t>Silurus glanis</t>
  </si>
  <si>
    <t>21 - Tench (Tanche)</t>
  </si>
  <si>
    <t>Tinca tinca</t>
  </si>
  <si>
    <t>22 - Tilapia aurea</t>
  </si>
  <si>
    <t>Oreochromis aureus</t>
  </si>
  <si>
    <t>23 - Mozambique tilapia (Tilapia du Mozambique)</t>
  </si>
  <si>
    <t>Oreochromis mozambicus</t>
  </si>
  <si>
    <t>24 - Nil Tilapia (Tilapia du Nil)</t>
  </si>
  <si>
    <t>Oreochromis niloticus</t>
  </si>
  <si>
    <t>25 - Rainbow trout (Truite arc en ciel)</t>
  </si>
  <si>
    <t>Oncorhynchus mykiss</t>
  </si>
  <si>
    <t xml:space="preserve">26 - Clarias </t>
  </si>
  <si>
    <t>Clarias batrachus</t>
  </si>
  <si>
    <t>27 - Common trout (Fario-truite commune)</t>
  </si>
  <si>
    <t>Salmo trutta</t>
  </si>
  <si>
    <t>Nitrogen (%)</t>
  </si>
  <si>
    <t>Scientif name</t>
  </si>
  <si>
    <t>Fish meal, India, 74% CP</t>
  </si>
  <si>
    <t>Fish meal, Chile, 64% CP</t>
  </si>
  <si>
    <t>Fish meal, Peru, 67% CP</t>
  </si>
  <si>
    <t>Fish meal, Danish, 70% CP</t>
  </si>
  <si>
    <t>Fish meal, Thailand, 55% CP</t>
  </si>
  <si>
    <t>Fish meal, 55% CP</t>
  </si>
  <si>
    <t>Fish meal, 65% CP</t>
  </si>
  <si>
    <t>Fish meal, 70% CP, low temperature</t>
  </si>
  <si>
    <t>Fish meal, Alaskan pollock, processing waste</t>
  </si>
  <si>
    <t>Fish meal, anchovy</t>
  </si>
  <si>
    <t>Fish meal, cod, processing waste</t>
  </si>
  <si>
    <t>Fish meal, freshwater alewife</t>
  </si>
  <si>
    <t>Fish meal, herring, 70% CP</t>
  </si>
  <si>
    <t>Fish meal, mackerel</t>
  </si>
  <si>
    <t>Fish meal, menhaden, Special Select</t>
  </si>
  <si>
    <t>Fish meal, processing by-products, NOAA, Seattle</t>
  </si>
  <si>
    <t>Fish meal, red fish</t>
  </si>
  <si>
    <t>Fish meal, salmon, mechanically extracted</t>
  </si>
  <si>
    <t>Fish meal, sardine</t>
  </si>
  <si>
    <t>Fish meal, tuna, mechanically extracted</t>
  </si>
  <si>
    <t>Fish meal, white, mechanically extracted</t>
  </si>
  <si>
    <t>Fish meal, Pangasius (basa/tra)</t>
  </si>
  <si>
    <t>Fish meal, SE Asia, 50% CP</t>
  </si>
  <si>
    <t>Fish meal, SE Asia, 51% CP</t>
  </si>
  <si>
    <t>Fish meal, SE Asia, 52% CP</t>
  </si>
  <si>
    <t>Fish meal, SE Asia, 53% CP</t>
  </si>
  <si>
    <t>Fish meal, SE Asia, 54% CP</t>
  </si>
  <si>
    <t>Fish meal, SE Asia, 55% CP</t>
  </si>
  <si>
    <t>Fish meal, SE Asia, 56% CP</t>
  </si>
  <si>
    <t>Fish meal, SE Asia, 57% CP</t>
  </si>
  <si>
    <t>Fish meal, SE Asia, 58% CP</t>
  </si>
  <si>
    <t>Fish meal, SE Asia, 59% CP</t>
  </si>
  <si>
    <t>Fish meal, SE Asia, 60% CP</t>
  </si>
  <si>
    <t>Fish meal, SE Asia, 61% CP</t>
  </si>
  <si>
    <t>Fish meal, SE Asia, 62% CP</t>
  </si>
  <si>
    <t>Fish meal, SE Asia, 63% CP</t>
  </si>
  <si>
    <t>Fish meal, SE Asia, 64% CP</t>
  </si>
  <si>
    <t>Fish meal, SE Asia, 65% CP</t>
  </si>
  <si>
    <t>Fish meal, SE Asia, 66% CP</t>
  </si>
  <si>
    <t>Fish meal, SE Asia, 67% CP</t>
  </si>
  <si>
    <t>Fish protein concentrate, CPSP</t>
  </si>
  <si>
    <t>Fish solubles, condensed</t>
  </si>
  <si>
    <t>Fish solubles, dehydrated, 64% CP</t>
  </si>
  <si>
    <t>Fish solubles, dehydrated, 56% CP</t>
  </si>
  <si>
    <t>Fish solubles, dehydrated, 45% CP</t>
  </si>
  <si>
    <t>Fish solubles, dehydrated, 40% CP</t>
  </si>
  <si>
    <t>Tuna liquid hydrolysate, Actipal OL4/SL5, Diana Aqua</t>
  </si>
  <si>
    <t>Tuna liquid hydrolysate with tuna oil,Actipal EM1,Diana Aqua</t>
  </si>
  <si>
    <t>Tuna and squid liquid hydrolysate, Actipal HL3, Diana Aqua</t>
  </si>
  <si>
    <t>Fish silage, farmed salmon, process waste, wet</t>
  </si>
  <si>
    <t>Fish silage, dogfish</t>
  </si>
  <si>
    <t>Fish silage, salmon, dried hydrolyzate, spray-dried</t>
  </si>
  <si>
    <t>Fish and squid meal, SP66-N</t>
  </si>
  <si>
    <t>Fish bone meal, fish processing byproduct</t>
  </si>
  <si>
    <t>Shrimp meal, by-products</t>
  </si>
  <si>
    <t>Shrimp head meal</t>
  </si>
  <si>
    <t>Shrimp meal, whole</t>
  </si>
  <si>
    <t>Crab meal</t>
  </si>
  <si>
    <t>Krill meal</t>
  </si>
  <si>
    <t>Squid liver meal</t>
  </si>
  <si>
    <t>Squid meal</t>
  </si>
  <si>
    <t xml:space="preserve">Blood cell meal, ring dried </t>
  </si>
  <si>
    <t>Blood cell meal, flash dried</t>
  </si>
  <si>
    <t>Blood meal, ring dried</t>
  </si>
  <si>
    <t>Blood meal, whole, spray-dried</t>
  </si>
  <si>
    <t>Blood cell meal, spray-dried</t>
  </si>
  <si>
    <t>Spray-dried animal blood cells, AP301, APC</t>
  </si>
  <si>
    <t>Spray-dried animal blood plasma, AP920, APC</t>
  </si>
  <si>
    <t>Feather meal,  steam hydrolyzed</t>
  </si>
  <si>
    <t>Feather meal, 77% CP</t>
  </si>
  <si>
    <t>Feather meal, 81% CP</t>
  </si>
  <si>
    <t>Feather meal (+feet+head mix), high ash, 60% CP</t>
  </si>
  <si>
    <t>Feather meal, double hydrolyzed, Goldmehl FM, GePro</t>
  </si>
  <si>
    <t>Porcine meal, 65% CP</t>
  </si>
  <si>
    <t>Porcine meat meal, Dake-58, Daka Proteins</t>
  </si>
  <si>
    <t>Porcine meat and bone meal, Daka 40, Daka Proteins</t>
  </si>
  <si>
    <t>Porcine meat and bone meal, Sonac-50, Sonac CV</t>
  </si>
  <si>
    <t>Porcine meat meal, Sonac-60, Sonac CV</t>
  </si>
  <si>
    <t>Poultry meal, 63% CP</t>
  </si>
  <si>
    <t>Poultry by-product meal, 60% CP</t>
  </si>
  <si>
    <t>Poultry by-product meal, feed-grade, 60% CP</t>
  </si>
  <si>
    <t>Poultry by-product meal, feed grade, 57% CP</t>
  </si>
  <si>
    <t>Poultry by-product meal, 73% CP</t>
  </si>
  <si>
    <t>Poultry by-product meal, low ash, 62% CP</t>
  </si>
  <si>
    <t>Turkey meal, 63% CP</t>
  </si>
  <si>
    <t xml:space="preserve">Whey, dried </t>
  </si>
  <si>
    <t>Whey, dried, low lactose</t>
  </si>
  <si>
    <t xml:space="preserve">Whey, permeate, dried </t>
  </si>
  <si>
    <t>Casein, dried</t>
  </si>
  <si>
    <t>Gelatin</t>
  </si>
  <si>
    <t>Whole egg powder</t>
  </si>
  <si>
    <t>Maggot meal, MagMeal, AgriProtein</t>
  </si>
  <si>
    <t>Black soldier fly larvae meal, defatted, Enterra</t>
  </si>
  <si>
    <t>Yellow mealworm meal, defatted, TMP-465, Ynsect</t>
  </si>
  <si>
    <t>Black soldier fly meal, defatted, Enterra</t>
  </si>
  <si>
    <t>Banana meal</t>
  </si>
  <si>
    <t>Barley protein concentrate, low protein, 27% CP</t>
  </si>
  <si>
    <t>Barley protein concentrate, high protein, 54% CP</t>
  </si>
  <si>
    <t>Barley, grain</t>
  </si>
  <si>
    <t>Barley, malt sprouts, dried</t>
  </si>
  <si>
    <t>Barley, malt sprouts, pellets</t>
  </si>
  <si>
    <t>Barley, malt, dehydrated</t>
  </si>
  <si>
    <t>Barley, middlings</t>
  </si>
  <si>
    <t>Brewer's dried grains</t>
  </si>
  <si>
    <t>Camelina meal</t>
  </si>
  <si>
    <t>Carob meal</t>
  </si>
  <si>
    <t>Cassava, tuber, meal</t>
  </si>
  <si>
    <t>Castor oil plant meal</t>
  </si>
  <si>
    <t>Chickpea, seeds</t>
  </si>
  <si>
    <t>Citrus pulp, dried</t>
  </si>
  <si>
    <t>Copra meal, coconut meal, expeller</t>
  </si>
  <si>
    <t>Copra meal, expeller, SE Asia</t>
  </si>
  <si>
    <t xml:space="preserve">Corn germ meal, expeller </t>
  </si>
  <si>
    <t>Corn germ meal, solvent extracted,</t>
  </si>
  <si>
    <t>Corn germ meal, protein concentrate</t>
  </si>
  <si>
    <t>Corn gluten feed, dried, 21% CP</t>
  </si>
  <si>
    <t>Corn gluten feed, 28% CP</t>
  </si>
  <si>
    <t>Corn gluten meal, 43% CP</t>
  </si>
  <si>
    <t>Corn gluten meal, 50% CP</t>
  </si>
  <si>
    <t>Corn gluten meal, 56% CP</t>
  </si>
  <si>
    <t>Corn gluten meal, 60% CP</t>
  </si>
  <si>
    <t>Corn gluten meal, 62% CP</t>
  </si>
  <si>
    <t>Corn gluten meal, 68% CP</t>
  </si>
  <si>
    <t>Corn protein concentrate, 77% CP</t>
  </si>
  <si>
    <t>Corn meal, Brazil</t>
  </si>
  <si>
    <t>Corn screenings</t>
  </si>
  <si>
    <t>Corn bran</t>
  </si>
  <si>
    <t>Corn steep liquor, condensed ferm corn extracts, steepwater</t>
  </si>
  <si>
    <t>Corn steep liquor, Condensed fermented corn extract, ADM</t>
  </si>
  <si>
    <t>Corn, ear, ground, dent yellow</t>
  </si>
  <si>
    <t>Corn, grain</t>
  </si>
  <si>
    <t>Corn, South Asia</t>
  </si>
  <si>
    <t>Corn, grain, high lysine</t>
  </si>
  <si>
    <t>Corn, grain, high oil</t>
  </si>
  <si>
    <t>Corn, hominy feed</t>
  </si>
  <si>
    <t>Corn gluten feed, wet, Golden Gluten, ADM</t>
  </si>
  <si>
    <t>Corn protein concentrate, Empyreal75, Cargill</t>
  </si>
  <si>
    <t>Cottonseed hulls</t>
  </si>
  <si>
    <t>Cottonseed meal, 22% CP, expeller, with hulls</t>
  </si>
  <si>
    <t>Cottonseed meal, 36% CP, expeller</t>
  </si>
  <si>
    <t>Cottonseed meal, 41% CP, expeller</t>
  </si>
  <si>
    <t>Cottonseed meal, 30% CP</t>
  </si>
  <si>
    <t>Cottonseed meal, 41% CP, solvent</t>
  </si>
  <si>
    <t>Cottonseed meal, 47% CP, solvent extracted</t>
  </si>
  <si>
    <t>Cottonseed protein concentrate, dephenolized</t>
  </si>
  <si>
    <t>Cottonseed meal, degossypoled</t>
  </si>
  <si>
    <t>Cottonseed, meal, 28% CP, Brazil</t>
  </si>
  <si>
    <t>Cottonseed meal, 38% CP, Brazil</t>
  </si>
  <si>
    <t>Distillers dried grains with solubles, DDGS</t>
  </si>
  <si>
    <t>Distillers dried grains with solubles, DDGS, corn, low oil</t>
  </si>
  <si>
    <t>Distillers dried grains with solubles, DDGS, high protein</t>
  </si>
  <si>
    <t>Distillers dried grains, corn</t>
  </si>
  <si>
    <t>Distillers dried grains, high protein</t>
  </si>
  <si>
    <t>Distillers grains, corn, wet, WDGS</t>
  </si>
  <si>
    <t>Distiller's grains, dried, high protein</t>
  </si>
  <si>
    <t>Distiller's grains, dried</t>
  </si>
  <si>
    <t>Distillers dried grains</t>
  </si>
  <si>
    <t>Distiller's solubles, dried</t>
  </si>
  <si>
    <t>Distillers dried grains with solubles, DDGS, corn, Spain</t>
  </si>
  <si>
    <t>Distillers dried grains with solubles, DDGS, corn, Hungary</t>
  </si>
  <si>
    <t xml:space="preserve">Faba beans, broad </t>
  </si>
  <si>
    <t>Faba bean protein concentrate, 66% CP</t>
  </si>
  <si>
    <t>Guar meal, 55%CP</t>
  </si>
  <si>
    <t>Guar meal, 40%CP</t>
  </si>
  <si>
    <t>Linseed meal, flaxseed meal, expeller, 32% CP</t>
  </si>
  <si>
    <t>Linseed meal, flaxseed meal, solvent extracted, 35% CP</t>
  </si>
  <si>
    <t>Linseed, flax, seed, whole</t>
  </si>
  <si>
    <t>Lupin protein concentrate, 54% CP</t>
  </si>
  <si>
    <t>Lupin seed meal, 49%CP</t>
  </si>
  <si>
    <t>Lupin seed meal, 36%CP</t>
  </si>
  <si>
    <t>Lupin meal, Chile</t>
  </si>
  <si>
    <t>Molasses, cane, dried</t>
  </si>
  <si>
    <t>Molasses, citrus</t>
  </si>
  <si>
    <t>Mustard seed meal, solvent extracted</t>
  </si>
  <si>
    <t>Mustard seed meal, expeller</t>
  </si>
  <si>
    <t>Oat, groats, dehulled</t>
  </si>
  <si>
    <t>Oat, grain</t>
  </si>
  <si>
    <t>Oat, hulls</t>
  </si>
  <si>
    <t>Palm kernel meal, expeller, SE Asia</t>
  </si>
  <si>
    <t>Palm kernel meal, expeller</t>
  </si>
  <si>
    <t>Palm kernel meal, solvent extracted</t>
  </si>
  <si>
    <t>Passion fruit, pulp, dried</t>
  </si>
  <si>
    <t>Pea protein concentrate</t>
  </si>
  <si>
    <t>Pea protein concentrate, 85% CP</t>
  </si>
  <si>
    <t>Pea, seed, shelled and extruded</t>
  </si>
  <si>
    <t>Peanut meal, expeller, with hulls</t>
  </si>
  <si>
    <t>Peanut meal, solvent extracted, dehulled</t>
  </si>
  <si>
    <t>Peanut meal 50% CP</t>
  </si>
  <si>
    <t>Potato protein concentrate, 74% CP</t>
  </si>
  <si>
    <t>Potato Protein Concentrate, 78% CP</t>
  </si>
  <si>
    <t>Potato protein concentrate, 87% CP, Protastart, AVEBE</t>
  </si>
  <si>
    <t>Potato starch</t>
  </si>
  <si>
    <t>Rapeseed meal, solvent extracted, 37% CP</t>
  </si>
  <si>
    <t>Rapeseed  meal, expeller, 35% CP</t>
  </si>
  <si>
    <t>Rapeseed/Canola meal, solvent extracted, 39% CP</t>
  </si>
  <si>
    <t>Rapessed/Canola meal, hight protein, 39% CP</t>
  </si>
  <si>
    <t>Rapeseed/Canola meal,  low erucic acid, 32% CP</t>
  </si>
  <si>
    <t>Rapeseed/Canola meal, low glucosinolate, 35% CP</t>
  </si>
  <si>
    <t>Rapeseed/Canola protein concentrate</t>
  </si>
  <si>
    <t>Rapessed/Canola meal, solvent extracted, 35% CP</t>
  </si>
  <si>
    <t>Rapeseed/Canola meal, double low, 36% CP</t>
  </si>
  <si>
    <t>Rapeseed, seed</t>
  </si>
  <si>
    <t>Rice bran, raw, parboiled</t>
  </si>
  <si>
    <t>Rice bran, SE Asia</t>
  </si>
  <si>
    <t>Rice bran</t>
  </si>
  <si>
    <t>Rice bran, defatted</t>
  </si>
  <si>
    <t>Rice bran, unextracted</t>
  </si>
  <si>
    <t>Rice bran, solvent extracted</t>
  </si>
  <si>
    <t>Rice polishings</t>
  </si>
  <si>
    <t>Rice protein concentrate</t>
  </si>
  <si>
    <t>Rice protein meal</t>
  </si>
  <si>
    <t>Rice, broken</t>
  </si>
  <si>
    <t>Rice, grain, rough</t>
  </si>
  <si>
    <t>Rice, hulls</t>
  </si>
  <si>
    <t>Rice, meal</t>
  </si>
  <si>
    <t xml:space="preserve">Rice, paddy </t>
  </si>
  <si>
    <t>Rye, grain</t>
  </si>
  <si>
    <t>Safflower meal, expeller, with hulls, 20% CP</t>
  </si>
  <si>
    <t>Safflower meal, expeller, without hulls, 43% CP</t>
  </si>
  <si>
    <t>Safflower meal, with hulls,solvent extracted, 22% CP</t>
  </si>
  <si>
    <t>Safflower meal, solvent extracted, without hulls, 42% CP</t>
  </si>
  <si>
    <t>Seaweed, dried</t>
  </si>
  <si>
    <t>Seaweed, dried (Gracilaria arcuata)</t>
  </si>
  <si>
    <t>Seaweed, dried (Ulva lactuca)</t>
  </si>
  <si>
    <t>Seaweed, dried, Green, Nutrigeen</t>
  </si>
  <si>
    <t>Seaweed, dried, Brown, Nutrikelp</t>
  </si>
  <si>
    <t>Sesame meal,expeller, 42% CP</t>
  </si>
  <si>
    <t>Sesame meal, solvent extract, 48% CP</t>
  </si>
  <si>
    <t>Sorghum, gluten feed, 24% CP</t>
  </si>
  <si>
    <t>Sorghum, gluten meal, 42% CP</t>
  </si>
  <si>
    <t>Sorghum, grain</t>
  </si>
  <si>
    <t>Sorghum, grain, low tannin</t>
  </si>
  <si>
    <t>Sorghum, grain, high tannin</t>
  </si>
  <si>
    <t>Sorghum, milo, mill feed</t>
  </si>
  <si>
    <t>Soy protein concentrate, fermented, ME-PRO, Prairie AquaTech</t>
  </si>
  <si>
    <t>Soy protein concentrate, 55% CP</t>
  </si>
  <si>
    <t>Soybean protein concentrate, 59% CP</t>
  </si>
  <si>
    <t>Soy protein concentrate, 60% CP</t>
  </si>
  <si>
    <t>Soy protein concentrate, 65% CP</t>
  </si>
  <si>
    <t>Soy protein concentrate, 70% CP</t>
  </si>
  <si>
    <t>Soy protein concentrate, Selecta XSOY 600, CJ Selecta</t>
  </si>
  <si>
    <t>Soy protein concentrate, NutriVance, Mid-West Ag Enterprises</t>
  </si>
  <si>
    <t>Soy protein concentrate, HP300, Hamlet Protein</t>
  </si>
  <si>
    <t>Soy protein isolate, Ardex, Archer Daniels Midland</t>
  </si>
  <si>
    <t>Soy protein isolate</t>
  </si>
  <si>
    <t>Soybean meal, 40% CP, expeller</t>
  </si>
  <si>
    <t>Soybean meal, 45% CP, solvent extracted</t>
  </si>
  <si>
    <t>Soybean meal, 48% CP, solvent extracted</t>
  </si>
  <si>
    <t>Soybean meal, 55% CP</t>
  </si>
  <si>
    <t>Soybean meal, Argentina, 47% CP</t>
  </si>
  <si>
    <t>Soybean meal, Argentina, 45% CP</t>
  </si>
  <si>
    <t>Soybean meal, Brazil, 46% CP</t>
  </si>
  <si>
    <t>Soybean meal, Brazil, 48% CP</t>
  </si>
  <si>
    <t>Soybean meal, Brazil, 45% CP</t>
  </si>
  <si>
    <t>Soybean meal, China, 44% CP</t>
  </si>
  <si>
    <t>Soybean meal, dehulled, China, 48% CP</t>
  </si>
  <si>
    <t>Soybean meal, China, 42% CP</t>
  </si>
  <si>
    <t>Fermented soybean meal, 53% CP</t>
  </si>
  <si>
    <t>Fermented soybean meal, DaBomb-P,Taiwan</t>
  </si>
  <si>
    <t>Soybean meal, India, 46% CP</t>
  </si>
  <si>
    <t>Soybean meal, India</t>
  </si>
  <si>
    <t>Soybean meal, USA, 48% CP</t>
  </si>
  <si>
    <t>Soybean meal, USA</t>
  </si>
  <si>
    <t>Soybean meal, USDA, Variety A</t>
  </si>
  <si>
    <t>Soybean meal, USDA, Variety B</t>
  </si>
  <si>
    <t>Soybean meal, USDA, Variety C</t>
  </si>
  <si>
    <t>Soybean meal, ADM</t>
  </si>
  <si>
    <t>Soybean meal, Evonik database</t>
  </si>
  <si>
    <t>Soybean meal, low heat</t>
  </si>
  <si>
    <t>Soybean meal, high heat</t>
  </si>
  <si>
    <t>Soybean, full-fat, extruded</t>
  </si>
  <si>
    <t xml:space="preserve">Soybean, full-fat, toasted </t>
  </si>
  <si>
    <t>Starch, corn</t>
  </si>
  <si>
    <t>Sunflower meal, solvent extract, 30% CP</t>
  </si>
  <si>
    <t>Sunflower meal, solvent extracted, dehulled, 38% CP</t>
  </si>
  <si>
    <t>Sunflower meal, solvent extract, 41% CP</t>
  </si>
  <si>
    <t>Sunflower meal, expeller, 31% CP</t>
  </si>
  <si>
    <t>Sunflower meal, expeller, 35% CP</t>
  </si>
  <si>
    <t>Sunflower meal, high protein, Bolivian</t>
  </si>
  <si>
    <t>Sunflower meal, solvent extracted, 39% CP</t>
  </si>
  <si>
    <t>Sunflower meal, expeller, low protein with hulls, USA</t>
  </si>
  <si>
    <t>Sunflower meal, solvent extracted, 35% CP</t>
  </si>
  <si>
    <t>Sunflower meal, low heat</t>
  </si>
  <si>
    <t>Sunflower meal, high heat</t>
  </si>
  <si>
    <t>Sunflower meal, solvent extracted, Brazil, 36% CP</t>
  </si>
  <si>
    <t>Sunflower meal high protein, 455 CP, FinoIndustriadeAceite</t>
  </si>
  <si>
    <t>Sweat potato, dried</t>
  </si>
  <si>
    <t>Tomato pulp, dried</t>
  </si>
  <si>
    <t>Triticale, grain</t>
  </si>
  <si>
    <t>Wheat bran</t>
  </si>
  <si>
    <t>Wheat germ meal, 30% CP</t>
  </si>
  <si>
    <t>Wheat gluten meal, 78% CP</t>
  </si>
  <si>
    <t>Wheat middlings</t>
  </si>
  <si>
    <t>Wheat shorts</t>
  </si>
  <si>
    <t>Wheat, flour</t>
  </si>
  <si>
    <t xml:space="preserve">Buckwheat, grain </t>
  </si>
  <si>
    <t>Wheat, grain, hard red winter</t>
  </si>
  <si>
    <t>Wheat, Chile</t>
  </si>
  <si>
    <t>Wheat, millrun</t>
  </si>
  <si>
    <t>Wheat, red dog</t>
  </si>
  <si>
    <t>Wheat, screenings</t>
  </si>
  <si>
    <t>Wheat pollard</t>
  </si>
  <si>
    <t>Bacterial single cell protein</t>
  </si>
  <si>
    <t>Bacterial protein meal, dried, Dansk Bioprotein</t>
  </si>
  <si>
    <t>Yeast, Torula, forestry by-prod, Sylpro, Arbiom</t>
  </si>
  <si>
    <t>Yeast, Brewers yeast, 25% CP</t>
  </si>
  <si>
    <t>Yeast, Brewer's dried yeast,  45% CP</t>
  </si>
  <si>
    <t>Yeast, Brewer's dried yeast,  50% CP</t>
  </si>
  <si>
    <t>Yeast protein</t>
  </si>
  <si>
    <t>Yeast, Torula, dehydrated</t>
  </si>
  <si>
    <t>Proplex-DY, dried yeast, Archer Daniels Midland</t>
  </si>
  <si>
    <t>NuPro, yeast protein extract, Alltech Inc</t>
  </si>
  <si>
    <t>Yeast, S cerevisiae, Biotide extra, Biorigin</t>
  </si>
  <si>
    <t>Autolysed Dried Yeast, Hicell, Biorigin</t>
  </si>
  <si>
    <t>Hydrol dehydr yeast biomass, Rovimas NX Plus, DSM</t>
  </si>
  <si>
    <t>Algae, Spirulina, 55% CP</t>
  </si>
  <si>
    <t>Algae, Spirulina, 69% CP</t>
  </si>
  <si>
    <t>Algal single cell protein</t>
  </si>
  <si>
    <t>Algae, Schizochytrium sp</t>
  </si>
  <si>
    <t>Algal meal, Alltech SP1</t>
  </si>
  <si>
    <t>DHA Gold, algae meal, DSM</t>
  </si>
  <si>
    <t>Algal biomass, AlgaPrime DHA, Corbion</t>
  </si>
  <si>
    <t>Algae oil, Veramaris</t>
  </si>
  <si>
    <t>Fish oil, anchovy</t>
  </si>
  <si>
    <t>Fish oil, capelin</t>
  </si>
  <si>
    <t>Fish oil, channel catfish, farmed</t>
  </si>
  <si>
    <t>Fish oil, cod liver</t>
  </si>
  <si>
    <t>Fish oil, herring, Pacific</t>
  </si>
  <si>
    <t>Fish oil, mackerel</t>
  </si>
  <si>
    <t>Fish oil, Menhaden</t>
  </si>
  <si>
    <t>Fish oil, Atlantic salmon, farmed by product</t>
  </si>
  <si>
    <t>Fish oil, Pacific salmon, sea caught</t>
  </si>
  <si>
    <t>Fish oil, pollock</t>
  </si>
  <si>
    <t>Fish oil, redfish</t>
  </si>
  <si>
    <t>Fish oil, sardine, Pacific-California</t>
  </si>
  <si>
    <t>Fish oil, tuna, white, orbital oil (head)</t>
  </si>
  <si>
    <t>Fish oil, white oil</t>
  </si>
  <si>
    <t>Fish oil, Pangasius (basa/tra)</t>
  </si>
  <si>
    <t>Krill oil</t>
  </si>
  <si>
    <t>Squid oil</t>
  </si>
  <si>
    <t>Fish oil, Tuna oil, crude, co-products</t>
  </si>
  <si>
    <t>Lard</t>
  </si>
  <si>
    <t>Poultry fat</t>
  </si>
  <si>
    <t>Tallow, beef</t>
  </si>
  <si>
    <t>Yellow grease, restaurant</t>
  </si>
  <si>
    <t>Choice White Grease</t>
  </si>
  <si>
    <t xml:space="preserve">Canola oil </t>
  </si>
  <si>
    <t>Castor oil</t>
  </si>
  <si>
    <t>Coconut oil</t>
  </si>
  <si>
    <t>Corn oil</t>
  </si>
  <si>
    <t>Cottonseed oil</t>
  </si>
  <si>
    <t>Linseed oil</t>
  </si>
  <si>
    <t>Mustard oil</t>
  </si>
  <si>
    <t>Olive oil</t>
  </si>
  <si>
    <t>Palm oil</t>
  </si>
  <si>
    <t>Peanut oil</t>
  </si>
  <si>
    <t>Safflower oil</t>
  </si>
  <si>
    <t>Sesame oil</t>
  </si>
  <si>
    <t>Soybean oil</t>
  </si>
  <si>
    <t>Sunflower oil</t>
  </si>
  <si>
    <t>Soy lecithin</t>
  </si>
  <si>
    <t>Glycerol</t>
  </si>
  <si>
    <t>Cholesterol, feed grade</t>
  </si>
  <si>
    <t>Phytosterols, Aquasterol, INVE</t>
  </si>
  <si>
    <t>Vitamin premix, OMNR</t>
  </si>
  <si>
    <t>Vitamin premix, INVE, shrimp</t>
  </si>
  <si>
    <t>Vitamin premix, Brazil, tilapia</t>
  </si>
  <si>
    <t>Rovimix-stay-C 35, ascorbyl-monophosphate</t>
  </si>
  <si>
    <t xml:space="preserve">Rovimix-stay-C 25, ascorbyl-monophosphate </t>
  </si>
  <si>
    <t>Vitamin E premix, 500000IU/g</t>
  </si>
  <si>
    <t>Choline chloride, 50% choline</t>
  </si>
  <si>
    <t>Choline chloride, 60% choline</t>
  </si>
  <si>
    <t>Choline chloride, 75% choline</t>
  </si>
  <si>
    <t>Vitamin E, Rovimix E 50 Adsorbate, DSM</t>
  </si>
  <si>
    <t>Biotin, Rovimix Biotin 10%, DSM</t>
  </si>
  <si>
    <t>Betaine</t>
  </si>
  <si>
    <t>Amino acid premix</t>
  </si>
  <si>
    <t>L-Arginine</t>
  </si>
  <si>
    <t>L-Histidine</t>
  </si>
  <si>
    <t>L-Lysine</t>
  </si>
  <si>
    <t>L-Lysine HCL</t>
  </si>
  <si>
    <t>L-Lysine, BioLys, lysine sulfate</t>
  </si>
  <si>
    <t>DL-Methionine</t>
  </si>
  <si>
    <t>L-Phenylalanine</t>
  </si>
  <si>
    <t>L-Threonine</t>
  </si>
  <si>
    <t>L-Tryptophan</t>
  </si>
  <si>
    <t>L-Valine</t>
  </si>
  <si>
    <t>L-glutamic acid</t>
  </si>
  <si>
    <t>L-Taurine</t>
  </si>
  <si>
    <t>L-Lysine HCl monohydrochloride, powder, CJ Bio BestAmino</t>
  </si>
  <si>
    <t>Lysine Sulphate 70, granule, CJ Bio BestAmino</t>
  </si>
  <si>
    <t>Liquid Lysine 64, CJ BioBestAmino</t>
  </si>
  <si>
    <t>L-Threonine, powder, CJ Bio BestAmino</t>
  </si>
  <si>
    <t>L-Threonine, granule, THR Pro, CJ Bio BestAmino</t>
  </si>
  <si>
    <t>L-Tryptophan, CJ Bio BestAmino</t>
  </si>
  <si>
    <t>L-Valine, CJ Bio BestAmino</t>
  </si>
  <si>
    <t>Aquavi Met-Met®, Evonik</t>
  </si>
  <si>
    <t>Mineral premix, OMNR</t>
  </si>
  <si>
    <t>Mineral premix, INVE, fish-formulation 1</t>
  </si>
  <si>
    <t>Mineral premix, INVE, fish formulation 2</t>
  </si>
  <si>
    <t>Mineral premix, INVE, shrimp formulation 1</t>
  </si>
  <si>
    <t>Mineral premix, INVE, shrimp formulation 2</t>
  </si>
  <si>
    <t>Mineral premix,  general, shrimp</t>
  </si>
  <si>
    <t>Mineral premix, Brazil, fish</t>
  </si>
  <si>
    <t>Potassium phosphate, KH2PO4</t>
  </si>
  <si>
    <t>Mono sodium phosphate anhydrous, Na2HPO4</t>
  </si>
  <si>
    <t>Salt, NaCl</t>
  </si>
  <si>
    <t>Calcium carbonate, CaCO3</t>
  </si>
  <si>
    <t>Bovine bile salt</t>
  </si>
  <si>
    <t>Limestone, calcium carbonate</t>
  </si>
  <si>
    <t>Magnesium phosphate trihydrate, Windmill®Magnumphos, Aliphos</t>
  </si>
  <si>
    <t>Dicalcium phosphate, DCP dihydrate, DICAL+, Aliphos</t>
  </si>
  <si>
    <t>Mono ammonium phosphate, MAP - Aquaphos, Aliphos</t>
  </si>
  <si>
    <t>Zinc chelate of amino acid, Availa®Zn100 EU, Zinpro</t>
  </si>
  <si>
    <t>Zinc Amino acid complex, Availa®Zn120, Zinpro</t>
  </si>
  <si>
    <t>Manganese chelate of amino acids, Availa®Mn80EU, Zinpro</t>
  </si>
  <si>
    <t>Manganese amino acids complex, Availa®Mn80 EU, Zinpro</t>
  </si>
  <si>
    <t>Copper(II) chelate of amino acids, Availa®Cu100EU, Zinpro</t>
  </si>
  <si>
    <t>Copper amino acid complex, Availa®Cu100, Zinpro</t>
  </si>
  <si>
    <t>Iron(II) chelate of amino acids, Availa®Fe90EU,Zinpro</t>
  </si>
  <si>
    <t>Iron Amino acid complex, Availa®Fe100, Zinpro</t>
  </si>
  <si>
    <t>Zinc-L-Selenomethionine, Availa®Se2000, Zinpro</t>
  </si>
  <si>
    <t>Zinc-L-Selenomethionine, Availa®Se1000, Zinpro</t>
  </si>
  <si>
    <t>Chromium Methionine complex, Availa®Cr1000, Zinpro</t>
  </si>
  <si>
    <t>Selenium Yeast, Selemax, Biorigin</t>
  </si>
  <si>
    <t>Astaxanthin supplement, 10% astaxanthin</t>
  </si>
  <si>
    <t>Carophyl pink, astaxanthin supplement, 8% astaxanthin, DSM</t>
  </si>
  <si>
    <t>Carophyll pink 10%, astaxanthin 10%, DSM</t>
  </si>
  <si>
    <t>Carophyll red 10%, canthaxanthin 10%, DSM</t>
  </si>
  <si>
    <t>Carophyll yellow 10%, Apo-ester 10%, DSM</t>
  </si>
  <si>
    <t>Chromic oxide</t>
  </si>
  <si>
    <t>Yttrium oxide</t>
  </si>
  <si>
    <t>Acid washed diatomacheous earth, Celite AW521</t>
  </si>
  <si>
    <t>Pellet binder</t>
  </si>
  <si>
    <t>Carboxymethylcellulose</t>
  </si>
  <si>
    <t>Guar gum</t>
  </si>
  <si>
    <t>Lignin sulfonate</t>
  </si>
  <si>
    <t>Nutri-Bind, FG</t>
  </si>
  <si>
    <t xml:space="preserve">alpha-Cellulose </t>
  </si>
  <si>
    <t>Mold inhibitor, calcium propionate</t>
  </si>
  <si>
    <t>Mycotoxin  binder, ?-d-glucan from yeast cell</t>
  </si>
  <si>
    <t>Mycotoxin binder, Na Ca aluminosili w organic acids</t>
  </si>
  <si>
    <t>Mycotoxin binder, mineral clay product, zeolites</t>
  </si>
  <si>
    <t>Mycotoxin binder, activated carbon</t>
  </si>
  <si>
    <t>Mycotoxin binder, Protemyc, Biorigin</t>
  </si>
  <si>
    <t>Mycotoxin binder, MTX+, Olmix</t>
  </si>
  <si>
    <t>Ethoxyquin</t>
  </si>
  <si>
    <t>BHT</t>
  </si>
  <si>
    <t>BHA</t>
  </si>
  <si>
    <t xml:space="preserve">Mannan oligosaccharide, Bio-Mos, Alltech </t>
  </si>
  <si>
    <t>Prebiotic, Mannan-Oligosacharides, ActiveMOS, Biorigin</t>
  </si>
  <si>
    <t>Prebiotic, HyperGen, Biorigin</t>
  </si>
  <si>
    <t>Beta-Glucans, purified 60%, MacroGard, Biorigin</t>
  </si>
  <si>
    <t>RNA - Nucleotides, Biotide Extra, Biorigin</t>
  </si>
  <si>
    <t>Nucleotides,  40%, Rovimax® NX, DSM</t>
  </si>
  <si>
    <t>Attractant</t>
  </si>
  <si>
    <t>Exogenous phytase, 1000FTU/kg</t>
  </si>
  <si>
    <t>Protease, AG175, Jefo Nutrition</t>
  </si>
  <si>
    <t>Nitrogen content (%)</t>
  </si>
  <si>
    <t xml:space="preserve">04 - Others (polyculture ponds, mix) </t>
  </si>
  <si>
    <t>Quantity of nitrogen recovered in output biomass (kg)</t>
  </si>
  <si>
    <t>Percentage of nitrogen derived from co-products (%)</t>
  </si>
  <si>
    <t>Percentage of feed produced in the country (%)</t>
  </si>
  <si>
    <t>Dry matter (%)</t>
  </si>
  <si>
    <t>28 - Gilthead sea Bream (Dorade royale)</t>
  </si>
  <si>
    <t>Sparus Aurata</t>
  </si>
  <si>
    <t>More than 25g/100g</t>
  </si>
  <si>
    <t>Between 20 and 25g/100g</t>
  </si>
  <si>
    <t>Between 15 and 20g/100g</t>
  </si>
  <si>
    <t>Between 10 and 15g/100g</t>
  </si>
  <si>
    <t>Less than 10 g/100g</t>
  </si>
  <si>
    <t>Economic sustainability: Production management
Social sustainability: Production health management</t>
  </si>
  <si>
    <t>Between 20 and 50%</t>
  </si>
  <si>
    <t>Threshold values</t>
  </si>
  <si>
    <t>COMPONENT 11</t>
  </si>
  <si>
    <t>COMPONENT 12</t>
  </si>
  <si>
    <t>COMPONENT 13</t>
  </si>
  <si>
    <t>COMPONENT 14</t>
  </si>
  <si>
    <t>COMPONENT 15</t>
  </si>
  <si>
    <t>COMPONENT 16</t>
  </si>
  <si>
    <t>Origin</t>
  </si>
  <si>
    <t>Coproduct (Y/N)</t>
  </si>
  <si>
    <t>System location</t>
  </si>
  <si>
    <t>Percentage locally produced</t>
  </si>
  <si>
    <t>Local origin ?</t>
  </si>
  <si>
    <t>Automatic scaling</t>
  </si>
  <si>
    <t>Applied scaling</t>
  </si>
  <si>
    <t>g [EPA + DHA]/100g</t>
  </si>
  <si>
    <t>Biomass harvested (kg)</t>
  </si>
  <si>
    <t>29 -Seabass (Bar commun)</t>
  </si>
  <si>
    <t>[EPA + DHA] content per 100g of whole body fish</t>
  </si>
  <si>
    <t>Fish stocking density</t>
  </si>
  <si>
    <t>Average fish stocking density</t>
  </si>
  <si>
    <t>Quantity of nitrogen used in feed input (kg)</t>
  </si>
  <si>
    <t>Quantity of nitrogen used in feed input</t>
  </si>
  <si>
    <t>Quantity of nitrogen in input biomass</t>
  </si>
  <si>
    <t>Input biomass (kg)</t>
  </si>
  <si>
    <t>Quantity of nitrogen in input biomass (kg)</t>
  </si>
  <si>
    <t>Quantity of nitrogen brought to the system contained in feedstuff</t>
  </si>
  <si>
    <t>Quantity of nitrogen brought to the system contained in input biomass</t>
  </si>
  <si>
    <t>Average sales price (€/kg)</t>
  </si>
  <si>
    <t>Average sales price of all products</t>
  </si>
  <si>
    <t>Total biomass harvested (kg)</t>
  </si>
  <si>
    <t>Gross sales estimation</t>
  </si>
  <si>
    <t xml:space="preserve">Total quantity of biomass produced per year in kg (Final Biomass – Initial Biomass + Variation of stock) </t>
  </si>
  <si>
    <r>
      <t xml:space="preserve">Dry matter biomass </t>
    </r>
    <r>
      <rPr>
        <sz val="11"/>
        <color rgb="FFFF0000"/>
        <rFont val="Calibri"/>
        <family val="2"/>
        <scheme val="minor"/>
      </rPr>
      <t>harvested</t>
    </r>
  </si>
  <si>
    <t>Dicentrarchus labrax</t>
  </si>
  <si>
    <t>Phosphorus (%)</t>
  </si>
  <si>
    <t>Quantity of phosphorus recycled inside the system or reused in another system / Quantity of phosphorus used in inputs</t>
  </si>
  <si>
    <t>Sum of all monthly salaries (including owners) / Number of full time equivalent (NB: If owners’ wages is not explicitly defined, add one and a half the basic wages of the country per owner FTE.)</t>
  </si>
  <si>
    <t>Economic sustainability: Production management
Social sustainability: Production of quality-based products
Environmental sustainability: Limit organic wastes production</t>
  </si>
  <si>
    <t>Total biomass harvested</t>
  </si>
  <si>
    <t>Total quantity of biomass harvested per year in kg</t>
  </si>
  <si>
    <t>Quantity of biomass produced (kg)</t>
  </si>
  <si>
    <t>Quantity of biomass harvested (kg)</t>
  </si>
  <si>
    <t>Total area occupied by the system (m²)</t>
  </si>
  <si>
    <r>
      <t>Volume of the tanks (m</t>
    </r>
    <r>
      <rPr>
        <vertAlign val="superscript"/>
        <sz val="11"/>
        <color theme="1"/>
        <rFont val="Calibri"/>
        <family val="2"/>
        <scheme val="minor"/>
      </rPr>
      <t>3</t>
    </r>
    <r>
      <rPr>
        <sz val="11"/>
        <color theme="1"/>
        <rFont val="Calibri"/>
        <family val="2"/>
        <scheme val="minor"/>
      </rPr>
      <t>)</t>
    </r>
  </si>
  <si>
    <t>Other information: please provide any information useful to describe the studied system</t>
  </si>
  <si>
    <t>Other information (example: duration of the rearing cycles, reared species, difficulties, etc.)</t>
  </si>
  <si>
    <t>Scores</t>
  </si>
  <si>
    <t>Ponderated score</t>
  </si>
  <si>
    <t>Paid labour costs (compared to the biomass harvested)</t>
  </si>
  <si>
    <t>Juveniles and seedling costs (compared to the biomass harvested)</t>
  </si>
  <si>
    <t>Subsidies weights (compared to the biomass harvested)</t>
  </si>
  <si>
    <t>Feed costs (compared to the biomass harvested)</t>
  </si>
  <si>
    <t>ton of dry matter/FTE</t>
  </si>
  <si>
    <t>Cost of chemical compared to total biomass harvested</t>
  </si>
  <si>
    <t>Health costs (compared to the biomass harvested)</t>
  </si>
  <si>
    <t>Between 1 and 2</t>
  </si>
  <si>
    <t>Proportion of input self-produced</t>
  </si>
  <si>
    <t>Proportion of self-produced resources</t>
  </si>
  <si>
    <t>Cumulate number of sick leave days or days of absence from work caused by an accident at work per year</t>
  </si>
  <si>
    <t>Total number of temporary disability lost days per year</t>
  </si>
  <si>
    <t>Accident severity rate</t>
  </si>
  <si>
    <t>number of temporary disability lost days divided by the number of worked hours and multiplied by 1,000 working hours</t>
  </si>
  <si>
    <t># days lost / 1000 hours</t>
  </si>
  <si>
    <t>To be filled by the user</t>
  </si>
  <si>
    <t>Automatically when the user fill the associated calculation sheet</t>
  </si>
  <si>
    <t>Results from other assessments (LCA, LCC)</t>
  </si>
  <si>
    <t>Variation of stock (kg)</t>
  </si>
  <si>
    <t>SUM equals to 100% !!</t>
  </si>
  <si>
    <t>Sheet 5</t>
  </si>
  <si>
    <t>Sheet 6</t>
  </si>
  <si>
    <t>FISH PRODUCTION</t>
  </si>
  <si>
    <t>Description:</t>
  </si>
  <si>
    <t>PRODUCTS</t>
  </si>
  <si>
    <t>Code Sys</t>
  </si>
  <si>
    <t>Code Cmp</t>
  </si>
  <si>
    <t>Code Itm</t>
  </si>
  <si>
    <t>Name</t>
  </si>
  <si>
    <t>Number</t>
  </si>
  <si>
    <t>Indiv weight (g)</t>
  </si>
  <si>
    <t>Total weight (g)</t>
  </si>
  <si>
    <t>Note</t>
  </si>
  <si>
    <t>FP</t>
  </si>
  <si>
    <t>PRD01</t>
  </si>
  <si>
    <t>PRD02</t>
  </si>
  <si>
    <t>INFRASTRUCTURES</t>
  </si>
  <si>
    <t>surface (m2)</t>
  </si>
  <si>
    <t>material1 (M1)</t>
  </si>
  <si>
    <t>weight  M1 (kg)</t>
  </si>
  <si>
    <t>Geographic origin M1</t>
  </si>
  <si>
    <t>material2 (M2)</t>
  </si>
  <si>
    <t>weight  M2 (kg)</t>
  </si>
  <si>
    <t>Geographic origin M2</t>
  </si>
  <si>
    <t>material3 (M3)</t>
  </si>
  <si>
    <t>weight  M3 (kg)</t>
  </si>
  <si>
    <t>Geographic origin 3</t>
  </si>
  <si>
    <t>Energy  / manu-facturing (MJ)</t>
  </si>
  <si>
    <t>Shelflife (year)</t>
  </si>
  <si>
    <t>INF01</t>
  </si>
  <si>
    <t>CP</t>
  </si>
  <si>
    <t>EQUIPMENT</t>
  </si>
  <si>
    <t>Total weihgt (kg)</t>
  </si>
  <si>
    <t>Geographic origin</t>
  </si>
  <si>
    <t>material4 (M4)</t>
  </si>
  <si>
    <t>weight  M4 (kg)</t>
  </si>
  <si>
    <t>EQP01</t>
  </si>
  <si>
    <t>INPUTS</t>
  </si>
  <si>
    <t>unit</t>
  </si>
  <si>
    <t xml:space="preserve">Total Quantity </t>
  </si>
  <si>
    <t>Geographic origin supplier</t>
  </si>
  <si>
    <t>Component 1</t>
  </si>
  <si>
    <t>Quantity 1</t>
  </si>
  <si>
    <t>Geographic origin 1</t>
  </si>
  <si>
    <t>Component 2</t>
  </si>
  <si>
    <t>Quantity 2</t>
  </si>
  <si>
    <t>Geographic origin 2</t>
  </si>
  <si>
    <t>Component 3</t>
  </si>
  <si>
    <t>Quantity 3</t>
  </si>
  <si>
    <t>Component 4</t>
  </si>
  <si>
    <t>Quantity 4</t>
  </si>
  <si>
    <t>Geographic origin 4</t>
  </si>
  <si>
    <t>INP01</t>
  </si>
  <si>
    <t>INP02</t>
  </si>
  <si>
    <t>INP03</t>
  </si>
  <si>
    <t>EMISSIONS</t>
  </si>
  <si>
    <t>Destination</t>
  </si>
  <si>
    <t>EMI01</t>
  </si>
  <si>
    <t>Dissolved nutrient treatment</t>
  </si>
  <si>
    <t>DNT</t>
  </si>
  <si>
    <t>Geographic origin supplyer</t>
  </si>
  <si>
    <t>Particulate nutrient treatment</t>
  </si>
  <si>
    <t>PNT</t>
  </si>
  <si>
    <t>Common Processes</t>
  </si>
  <si>
    <t>Packaging</t>
  </si>
  <si>
    <t>Cost (€/kg)</t>
  </si>
  <si>
    <t>Cost (€)</t>
  </si>
  <si>
    <t>Quantity of feed used (kg/year)</t>
  </si>
  <si>
    <t>Non-ingested feed (%)</t>
  </si>
  <si>
    <t>Feed processing</t>
  </si>
  <si>
    <t>PRD03</t>
  </si>
  <si>
    <t>INF02</t>
  </si>
  <si>
    <t>INF03</t>
  </si>
  <si>
    <t>INF04</t>
  </si>
  <si>
    <t>EQP02</t>
  </si>
  <si>
    <t>EQP03</t>
  </si>
  <si>
    <t>EQP04</t>
  </si>
  <si>
    <t>EMI02</t>
  </si>
  <si>
    <t>EMI03</t>
  </si>
  <si>
    <t>INF05</t>
  </si>
  <si>
    <t>EQP05</t>
  </si>
  <si>
    <t>INP04</t>
  </si>
  <si>
    <t>EMI04</t>
  </si>
  <si>
    <t>INP05</t>
  </si>
  <si>
    <t>INP06</t>
  </si>
  <si>
    <t>EMI05</t>
  </si>
  <si>
    <t xml:space="preserve"> Grey sheets Color code</t>
  </si>
  <si>
    <t>Geographic data</t>
  </si>
  <si>
    <t>Location (GPS)</t>
  </si>
  <si>
    <t>Average insolation (kWh/m2/year)</t>
  </si>
  <si>
    <t>Average wind velocity (m/s)</t>
  </si>
  <si>
    <t>Average temperature (°C)</t>
  </si>
  <si>
    <t>Average precipitation (mm/yr)</t>
  </si>
  <si>
    <t xml:space="preserve">Final Table : MASS BALANCE IMPACT </t>
  </si>
  <si>
    <t>Body composition</t>
  </si>
  <si>
    <t>Quantity of N &amp; P from fertilizer (organic &amp; mineral)</t>
  </si>
  <si>
    <t>TABLEAU RECAPITULATIF DES QUANTITES REJETTEES</t>
  </si>
  <si>
    <t>CALCUL D'IMPACT BILAN DE MASSE avec CML</t>
  </si>
  <si>
    <t>IMPACT CALCULATION : MASS BALANCE (Recipe method)</t>
  </si>
  <si>
    <t>Ponds</t>
  </si>
  <si>
    <t>Others</t>
  </si>
  <si>
    <t>Living weight (kg)</t>
  </si>
  <si>
    <t>Dead weight (kg)</t>
  </si>
  <si>
    <t>Fry weight (kg)</t>
  </si>
  <si>
    <t>Species allocation</t>
  </si>
  <si>
    <t>Protein (N)</t>
  </si>
  <si>
    <t>P- Phosphore</t>
  </si>
  <si>
    <t>Dry Matter</t>
  </si>
  <si>
    <t>Fertilizer</t>
  </si>
  <si>
    <t>density</t>
  </si>
  <si>
    <t xml:space="preserve">N input </t>
  </si>
  <si>
    <t xml:space="preserve"> P2O5 input</t>
  </si>
  <si>
    <t>Rejet finaux ( N, P et ThoD)</t>
  </si>
  <si>
    <t>PONDS</t>
  </si>
  <si>
    <t>OTHERS</t>
  </si>
  <si>
    <t>EN ETANG</t>
  </si>
  <si>
    <t>AUTRES</t>
  </si>
  <si>
    <t>OTHERS SYSTEMS</t>
  </si>
  <si>
    <t>Abiotic depletion</t>
  </si>
  <si>
    <t>kg Sb eq.</t>
  </si>
  <si>
    <t>N, water (kg)</t>
  </si>
  <si>
    <t>Acidification</t>
  </si>
  <si>
    <t>Eutrophication</t>
  </si>
  <si>
    <t>Human toxicity</t>
  </si>
  <si>
    <t>Global warming</t>
  </si>
  <si>
    <t>Photochemical oxidation</t>
  </si>
  <si>
    <t>freshwater eutrophisation</t>
  </si>
  <si>
    <t>Terrestrial acidification</t>
  </si>
  <si>
    <t>Particulate matter formation</t>
  </si>
  <si>
    <t>kg SO2 eq.</t>
  </si>
  <si>
    <t>N, solid(kg)</t>
  </si>
  <si>
    <t>kg PO4 eq.</t>
  </si>
  <si>
    <t>kg 1,4-DB eq.</t>
  </si>
  <si>
    <t>kg CO2 eq.</t>
  </si>
  <si>
    <t>kg eq. CO2</t>
  </si>
  <si>
    <t>Ecosystem (species.yr)</t>
  </si>
  <si>
    <t>Human Health (DALY)</t>
  </si>
  <si>
    <t>DALY</t>
  </si>
  <si>
    <t>Fry</t>
  </si>
  <si>
    <t>NH3, air (kg)</t>
  </si>
  <si>
    <t>N, water</t>
  </si>
  <si>
    <t>Global warming (GWP100)</t>
  </si>
  <si>
    <t>Weight for 1 fry
(g)</t>
  </si>
  <si>
    <t>N2, air (kg)</t>
  </si>
  <si>
    <t>N, soil mud (kg)</t>
  </si>
  <si>
    <t>N, soil (muds)</t>
  </si>
  <si>
    <t>Ozone layer depletion (ODP)</t>
  </si>
  <si>
    <t>kg CFC-11 eq.</t>
  </si>
  <si>
    <t>P-PO4, eau (kg)</t>
  </si>
  <si>
    <t>NH3, air</t>
  </si>
  <si>
    <t>P, solide (kg)</t>
  </si>
  <si>
    <t>P-PO4, water (kg)</t>
  </si>
  <si>
    <t>P-PO4, water</t>
  </si>
  <si>
    <t>Fresh water aquatic ecotox.</t>
  </si>
  <si>
    <t>Total Entrée Amendement</t>
  </si>
  <si>
    <t>Methan CH4 ponds / muds (kg)</t>
  </si>
  <si>
    <t>P, sol (kg)</t>
  </si>
  <si>
    <t>P, soil</t>
  </si>
  <si>
    <t>Marine aquatic ecotoxicity</t>
  </si>
  <si>
    <t>ThoD</t>
  </si>
  <si>
    <t>CH4 (kg)</t>
  </si>
  <si>
    <t>Terrestrial ecotoxicity</t>
  </si>
  <si>
    <t>Associated production mass balance</t>
  </si>
  <si>
    <t>kg C2H4 eq.</t>
  </si>
  <si>
    <t>N (kg/an)</t>
  </si>
  <si>
    <t>P205 (kg/an)</t>
  </si>
  <si>
    <t>Land competition</t>
  </si>
  <si>
    <t>m2a</t>
  </si>
  <si>
    <t>Average Composotion</t>
  </si>
  <si>
    <t>Total input</t>
  </si>
  <si>
    <t>Muds composition</t>
  </si>
  <si>
    <t>MJ eq.</t>
  </si>
  <si>
    <t>Total output</t>
  </si>
  <si>
    <t>Cleaning / Exportation</t>
  </si>
  <si>
    <t>CARACTERIZATION FACTORS (CML 2001 adapted by INRA)</t>
  </si>
  <si>
    <t>CARACTERIZATION FACTORS RECIPE ENDPOINT H/HA</t>
  </si>
  <si>
    <t>kg C</t>
  </si>
  <si>
    <t>Annual production data</t>
  </si>
  <si>
    <t>N</t>
  </si>
  <si>
    <t>P</t>
  </si>
  <si>
    <t>Rate of exported mud %</t>
  </si>
  <si>
    <t>Climate change Ecosystems</t>
  </si>
  <si>
    <t>Water dependance</t>
  </si>
  <si>
    <t>m3</t>
  </si>
  <si>
    <t>Annual living fish production(kg)</t>
  </si>
  <si>
    <t>living fish</t>
  </si>
  <si>
    <t>N in solid mud (year n , in kg)</t>
  </si>
  <si>
    <t>SUBSTANCE</t>
  </si>
  <si>
    <t>species.yr / kg</t>
  </si>
  <si>
    <t>DALY / kg</t>
  </si>
  <si>
    <t>species.year</t>
  </si>
  <si>
    <t>HumanHealth</t>
  </si>
  <si>
    <t>Dead fish</t>
  </si>
  <si>
    <t>dead fish</t>
  </si>
  <si>
    <t>P in solid mud (year n , in kg)</t>
  </si>
  <si>
    <t>Nitrogen, Water</t>
  </si>
  <si>
    <t>Nitrogen Water</t>
  </si>
  <si>
    <t>Ecosystem</t>
  </si>
  <si>
    <t>Species.yr</t>
  </si>
  <si>
    <t>Fry : total mass (kg)</t>
  </si>
  <si>
    <t>Production (living fish-fry) (kg)</t>
  </si>
  <si>
    <t>fry</t>
  </si>
  <si>
    <t>Quantity of  N P in exported mud  (kg)</t>
  </si>
  <si>
    <t>Nitrogen, total Soil</t>
  </si>
  <si>
    <t>Ressources</t>
  </si>
  <si>
    <t>$</t>
  </si>
  <si>
    <t xml:space="preserve">Produced Biomass (living+dead-fry) (kg) </t>
  </si>
  <si>
    <t>nombre de t.km en tracteur</t>
  </si>
  <si>
    <t>Ammonia Air</t>
  </si>
  <si>
    <t>Ammonia, Air</t>
  </si>
  <si>
    <t>Working force</t>
  </si>
  <si>
    <t>Mass Balance modelling</t>
  </si>
  <si>
    <t>Phosphorus, total Water</t>
  </si>
  <si>
    <t>Feed 1</t>
  </si>
  <si>
    <t>Feed 2</t>
  </si>
  <si>
    <t>Feed 3</t>
  </si>
  <si>
    <t>Feed 4</t>
  </si>
  <si>
    <t>Feed 5</t>
  </si>
  <si>
    <t>Feed 6</t>
  </si>
  <si>
    <t>Feed 7</t>
  </si>
  <si>
    <t>Feed 8</t>
  </si>
  <si>
    <t>Feed 9</t>
  </si>
  <si>
    <t>Feed 10</t>
  </si>
  <si>
    <t>TOTAL</t>
  </si>
  <si>
    <t>Balance (input - output) for N et P</t>
  </si>
  <si>
    <t>Méthane Gaz , air</t>
  </si>
  <si>
    <t>Quantity of feed distributed (kg)</t>
  </si>
  <si>
    <t>Input</t>
  </si>
  <si>
    <t>Unconsumed feed part</t>
  </si>
  <si>
    <t>Feed</t>
  </si>
  <si>
    <t>Final t.km for mud (diagnosis value)</t>
  </si>
  <si>
    <t>06 - Transport, lorry 3.5-16t, fleet average/RER U</t>
  </si>
  <si>
    <t>Quantity of  unconsumed feed (kg)</t>
  </si>
  <si>
    <t>associated Livestock</t>
  </si>
  <si>
    <t>Quantity of ingested feed (kg)</t>
  </si>
  <si>
    <t>FINAL INDICATORS</t>
  </si>
  <si>
    <t xml:space="preserve">Feed Composition </t>
  </si>
  <si>
    <t>Total input : feed + fertilizer + livestock</t>
  </si>
  <si>
    <t>Output</t>
  </si>
  <si>
    <t>Produced biomass (kg)</t>
  </si>
  <si>
    <t>Upstream production (if culture production)</t>
  </si>
  <si>
    <t>Total output ( Fraction extraite) (kg)</t>
  </si>
  <si>
    <t>Total Rejection, in kg/year   [input - output]</t>
  </si>
  <si>
    <t>Rejection by kg of produced fish(kg/kg)</t>
  </si>
  <si>
    <t>Digestibility</t>
  </si>
  <si>
    <t>Cas des systèmes étang</t>
  </si>
  <si>
    <t>Cas des systèmes autres (différents de etang)</t>
  </si>
  <si>
    <t>N gaz (NH3)</t>
  </si>
  <si>
    <t>N  water</t>
  </si>
  <si>
    <t>N solid (muds)</t>
  </si>
  <si>
    <t>P dissolved (water)</t>
  </si>
  <si>
    <t>solid P</t>
  </si>
  <si>
    <t>Calcul Fraction Dissoute (kg/an)</t>
  </si>
  <si>
    <t>25% de P non fixé (kg)</t>
  </si>
  <si>
    <t>75% de P non fixé (kg)</t>
  </si>
  <si>
    <t>Digested feed</t>
  </si>
  <si>
    <t>Produced biomass(kg)</t>
  </si>
  <si>
    <t>Associated livestock</t>
  </si>
  <si>
    <t>Solde N - si Transformation en  Etang</t>
  </si>
  <si>
    <t>Four main N loss</t>
  </si>
  <si>
    <t>Distributed Quantity (Q1  in kg)</t>
  </si>
  <si>
    <t>Fish harvest (vérification avec N Biomasse produite)</t>
  </si>
  <si>
    <t>Dissolved fraction (kg) [(Apport*digestibilité)-Biomasse]</t>
  </si>
  <si>
    <t>denitrification</t>
  </si>
  <si>
    <t>N2</t>
  </si>
  <si>
    <t xml:space="preserve">Solid fraction calculation (kg/an) </t>
  </si>
  <si>
    <t xml:space="preserve">       dont N in protein</t>
  </si>
  <si>
    <t>NH3volatilisation</t>
  </si>
  <si>
    <t>N-NH3</t>
  </si>
  <si>
    <t>Unconsumed feed</t>
  </si>
  <si>
    <t>accumulation in bottom soil</t>
  </si>
  <si>
    <t>solide</t>
  </si>
  <si>
    <t>Faeces (kg)</t>
  </si>
  <si>
    <t>N dans l'eau</t>
  </si>
  <si>
    <t>Solid fraction (kg)</t>
  </si>
  <si>
    <t>Unconsumed Quantity (Q2 in kg)</t>
  </si>
  <si>
    <t>Digested Quantity (Q3 in kg)</t>
  </si>
  <si>
    <t>Faeces (Q4 in kg)</t>
  </si>
  <si>
    <t>from proteins</t>
  </si>
  <si>
    <t>Rejected N rejeté from protein</t>
  </si>
  <si>
    <t>from lipids</t>
  </si>
  <si>
    <t>from carbohydrates</t>
  </si>
  <si>
    <t>from Fibres</t>
  </si>
  <si>
    <t>from ashes</t>
  </si>
  <si>
    <t>from P</t>
  </si>
  <si>
    <t>TOTAL MES (Q5 en kg)</t>
  </si>
  <si>
    <t>Total avec abattement en solide</t>
  </si>
  <si>
    <t>ThOD</t>
  </si>
  <si>
    <t>Phosphore</t>
  </si>
  <si>
    <t>Calculs des indicateurs zootechniques</t>
  </si>
  <si>
    <t>% fish meal in diet (calculation)</t>
  </si>
  <si>
    <t>ingredient 1</t>
  </si>
  <si>
    <t>ingredient 2</t>
  </si>
  <si>
    <t>ingredient 3</t>
  </si>
  <si>
    <t>ingredient 4</t>
  </si>
  <si>
    <t>ingredient 5</t>
  </si>
  <si>
    <t>ingredient 6</t>
  </si>
  <si>
    <t>ingredient 7</t>
  </si>
  <si>
    <t>ingredient 8</t>
  </si>
  <si>
    <t>ingredient 9</t>
  </si>
  <si>
    <t>ingredient 10</t>
  </si>
  <si>
    <t>ingredient 11</t>
  </si>
  <si>
    <t>ingredient 12</t>
  </si>
  <si>
    <t>ingredient 13</t>
  </si>
  <si>
    <t>ingredient 14</t>
  </si>
  <si>
    <t>ingredient 15</t>
  </si>
  <si>
    <t>Distributed Quantity</t>
  </si>
  <si>
    <t>Feed weight/diet weight (%)</t>
  </si>
  <si>
    <t>% fish meal/oil in feed</t>
  </si>
  <si>
    <t>Fish flour (tonne)</t>
  </si>
  <si>
    <t>% flour/oil fish in diet</t>
  </si>
  <si>
    <t xml:space="preserve">% Diet DM </t>
  </si>
  <si>
    <t>Indicateurs de Performance d'utilisation de la ration</t>
  </si>
  <si>
    <r>
      <t xml:space="preserve">FCR = </t>
    </r>
    <r>
      <rPr>
        <u/>
        <sz val="8"/>
        <color theme="1"/>
        <rFont val="Calibri"/>
        <family val="2"/>
        <scheme val="minor"/>
      </rPr>
      <t xml:space="preserve">                     Feed, kg                          
</t>
    </r>
    <r>
      <rPr>
        <sz val="8"/>
        <color theme="1"/>
        <rFont val="Calibri"/>
        <family val="2"/>
        <scheme val="minor"/>
      </rPr>
      <t xml:space="preserve">           Net aquacultural production, kg</t>
    </r>
  </si>
  <si>
    <t>Feed Conversion Ratio</t>
  </si>
  <si>
    <t>FCR</t>
  </si>
  <si>
    <r>
      <t>DMR = FCR x</t>
    </r>
    <r>
      <rPr>
        <u/>
        <sz val="8"/>
        <color theme="1"/>
        <rFont val="Calibri"/>
        <family val="2"/>
        <scheme val="minor"/>
      </rPr>
      <t xml:space="preserve">   %DM in feed             </t>
    </r>
    <r>
      <rPr>
        <sz val="8"/>
        <color theme="1"/>
        <rFont val="Calibri"/>
        <family val="2"/>
        <scheme val="minor"/>
      </rPr>
      <t xml:space="preserve">
                         %DM in culture species</t>
    </r>
  </si>
  <si>
    <t>Dry Matter Ratio</t>
  </si>
  <si>
    <t>DMR</t>
  </si>
  <si>
    <r>
      <t xml:space="preserve">WPR = (DMR-1) x </t>
    </r>
    <r>
      <rPr>
        <u/>
        <sz val="8"/>
        <color theme="1"/>
        <rFont val="Calibri"/>
        <family val="2"/>
        <scheme val="minor"/>
      </rPr>
      <t>DM in culture species</t>
    </r>
    <r>
      <rPr>
        <sz val="8"/>
        <color theme="1"/>
        <rFont val="Calibri"/>
        <family val="2"/>
        <scheme val="minor"/>
      </rPr>
      <t xml:space="preserve">
                                                  100</t>
    </r>
  </si>
  <si>
    <t>Waste production Ratio</t>
  </si>
  <si>
    <t>WPR</t>
  </si>
  <si>
    <r>
      <t xml:space="preserve">PCR = FCR x </t>
    </r>
    <r>
      <rPr>
        <u/>
        <sz val="8"/>
        <color theme="1"/>
        <rFont val="Calibri"/>
        <family val="2"/>
        <scheme val="minor"/>
      </rPr>
      <t>% Feed protein</t>
    </r>
    <r>
      <rPr>
        <sz val="8"/>
        <color theme="1"/>
        <rFont val="Calibri"/>
        <family val="2"/>
        <scheme val="minor"/>
      </rPr>
      <t xml:space="preserve">
                                    100</t>
    </r>
  </si>
  <si>
    <t>Protein Conversion Ratio</t>
  </si>
  <si>
    <t>PCR</t>
  </si>
  <si>
    <r>
      <t xml:space="preserve">PER = FCR x </t>
    </r>
    <r>
      <rPr>
        <u/>
        <sz val="8"/>
        <color theme="1"/>
        <rFont val="Calibri"/>
        <family val="2"/>
        <scheme val="minor"/>
      </rPr>
      <t xml:space="preserve">          % Feed protein          </t>
    </r>
    <r>
      <rPr>
        <sz val="8"/>
        <color theme="1"/>
        <rFont val="Calibri"/>
        <family val="2"/>
        <scheme val="minor"/>
      </rPr>
      <t xml:space="preserve">
                      % Protein in culture species</t>
    </r>
  </si>
  <si>
    <t>Protein Efficiency Ratio</t>
  </si>
  <si>
    <t>PER</t>
  </si>
  <si>
    <r>
      <t xml:space="preserve">FMR = FCR x </t>
    </r>
    <r>
      <rPr>
        <u/>
        <sz val="8"/>
        <color theme="1"/>
        <rFont val="Calibri"/>
        <family val="2"/>
        <scheme val="minor"/>
      </rPr>
      <t>% Fish meal in feed</t>
    </r>
    <r>
      <rPr>
        <sz val="8"/>
        <color theme="1"/>
        <rFont val="Calibri"/>
        <family val="2"/>
        <scheme val="minor"/>
      </rPr>
      <t xml:space="preserve">
                                        100</t>
    </r>
  </si>
  <si>
    <t>Fish Meal Ratio</t>
  </si>
  <si>
    <t>FMR</t>
  </si>
  <si>
    <t>FFE = FMR x 4,5</t>
  </si>
  <si>
    <t>Feed Fish Equivalence</t>
  </si>
  <si>
    <t>FFE</t>
  </si>
  <si>
    <t>Biomass</t>
  </si>
  <si>
    <t>Specie</t>
  </si>
  <si>
    <t>Turnover generated per coproduct (€)</t>
  </si>
  <si>
    <t>Quantity imported (kg)</t>
  </si>
  <si>
    <t>FEED 1</t>
  </si>
  <si>
    <t>Quantity (kg)</t>
  </si>
  <si>
    <t>Type</t>
  </si>
  <si>
    <t>Quantity for 1kg of feed)</t>
  </si>
  <si>
    <t>Recycling</t>
  </si>
  <si>
    <t>Transport from feed mill to farm (if known)</t>
  </si>
  <si>
    <t>Distance</t>
  </si>
  <si>
    <t>FEED 2</t>
  </si>
  <si>
    <t>FEED 3</t>
  </si>
  <si>
    <t>FEED 4</t>
  </si>
  <si>
    <t>FEED 5</t>
  </si>
  <si>
    <t>FEED 6</t>
  </si>
  <si>
    <t>FEED 7</t>
  </si>
  <si>
    <t>FEED 8</t>
  </si>
  <si>
    <t>FEED 9</t>
  </si>
  <si>
    <t>FEED 10</t>
  </si>
  <si>
    <t>Gross Energy (MJ/kg)</t>
  </si>
  <si>
    <t>Protein (%)</t>
  </si>
  <si>
    <t>Lipids (%)</t>
  </si>
  <si>
    <t>Protein</t>
  </si>
  <si>
    <t>Lipids</t>
  </si>
  <si>
    <t>Carbohydrates</t>
  </si>
  <si>
    <t>Fibers</t>
  </si>
  <si>
    <t>Ash</t>
  </si>
  <si>
    <t>Phosphorus</t>
  </si>
  <si>
    <t>Dietary composition</t>
  </si>
  <si>
    <t>UNIT</t>
  </si>
  <si>
    <t>LIFESPAN OF THE PLANT</t>
  </si>
  <si>
    <t>year</t>
  </si>
  <si>
    <t>SIZE</t>
  </si>
  <si>
    <t>INVESTMENTS</t>
  </si>
  <si>
    <t>% su TOT</t>
  </si>
  <si>
    <t>€/unit of size</t>
  </si>
  <si>
    <t>-</t>
  </si>
  <si>
    <t>TOTAL INVESTIMENTS [I]</t>
  </si>
  <si>
    <t>YEAR of</t>
  </si>
  <si>
    <t xml:space="preserve">ORDINARY_MANAGEMENT_ EXPENSES </t>
  </si>
  <si>
    <t>AMOUNT</t>
  </si>
  <si>
    <t>SPECIFIC COST</t>
  </si>
  <si>
    <t>START</t>
  </si>
  <si>
    <t>END</t>
  </si>
  <si>
    <t>€/u</t>
  </si>
  <si>
    <t>t</t>
  </si>
  <si>
    <t>kWh</t>
  </si>
  <si>
    <t>Other chemicals</t>
  </si>
  <si>
    <t>Oxigen</t>
  </si>
  <si>
    <t xml:space="preserve">salt </t>
  </si>
  <si>
    <t>Insurance</t>
  </si>
  <si>
    <t>Manpower</t>
  </si>
  <si>
    <t>WU</t>
  </si>
  <si>
    <t>Pesticides</t>
  </si>
  <si>
    <t>TOTAL [OMExp]</t>
  </si>
  <si>
    <t>ORDINARY_MANAGEMENT_ EXPENSES (variation %)</t>
  </si>
  <si>
    <t>STRAORDINARY_MANAGEMENT_ EXPENSES (SMExp]</t>
  </si>
  <si>
    <t>% su I</t>
  </si>
  <si>
    <t>Year</t>
  </si>
  <si>
    <t>Pump substitution</t>
  </si>
  <si>
    <t>Tank cleaning</t>
  </si>
  <si>
    <t>Nets</t>
  </si>
  <si>
    <t>Mixer</t>
  </si>
  <si>
    <t>TOTAL [SMExp]</t>
  </si>
  <si>
    <t>INCOMES [I]</t>
  </si>
  <si>
    <t>PRICE</t>
  </si>
  <si>
    <t>TOTAL [I]</t>
  </si>
  <si>
    <t>INCOMES (Variation)</t>
  </si>
  <si>
    <r>
      <t xml:space="preserve">INCOMES </t>
    </r>
    <r>
      <rPr>
        <sz val="8"/>
        <color rgb="FF0000FF"/>
        <rFont val="Arial"/>
        <family val="2"/>
      </rPr>
      <t>[I]</t>
    </r>
  </si>
  <si>
    <t>E</t>
  </si>
  <si>
    <t>€/year</t>
  </si>
  <si>
    <r>
      <t xml:space="preserve">EXPENSES </t>
    </r>
    <r>
      <rPr>
        <sz val="8"/>
        <color rgb="FF0000FF"/>
        <rFont val="Arial"/>
        <family val="2"/>
      </rPr>
      <t>[E = OMExp + SMExp]</t>
    </r>
  </si>
  <si>
    <t>FC</t>
  </si>
  <si>
    <t>DISCOUNT RATE</t>
  </si>
  <si>
    <t>(1 + r)n</t>
  </si>
  <si>
    <r>
      <t>FC</t>
    </r>
    <r>
      <rPr>
        <vertAlign val="subscript"/>
        <sz val="8"/>
        <rFont val="Arial"/>
        <family val="2"/>
      </rPr>
      <t>r</t>
    </r>
  </si>
  <si>
    <r>
      <t xml:space="preserve">I - </t>
    </r>
    <r>
      <rPr>
        <sz val="8"/>
        <rFont val="Symbol"/>
        <family val="1"/>
        <charset val="2"/>
      </rPr>
      <t>å</t>
    </r>
    <r>
      <rPr>
        <sz val="8"/>
        <rFont val="Arial"/>
        <family val="2"/>
      </rPr>
      <t>FC</t>
    </r>
    <r>
      <rPr>
        <vertAlign val="subscript"/>
        <sz val="8"/>
        <color theme="1"/>
        <rFont val="Arial"/>
        <family val="2"/>
      </rPr>
      <t>r</t>
    </r>
  </si>
  <si>
    <t>NPV</t>
  </si>
  <si>
    <t>INTERNAL RATE OF RETURN</t>
  </si>
  <si>
    <t>DISCOUNTED CASH FLOW WITH DIFFERENT DISCOUNT RATE</t>
  </si>
  <si>
    <t>r</t>
  </si>
  <si>
    <t>Lifespan of the plant (years)</t>
  </si>
  <si>
    <t>Total feed</t>
  </si>
  <si>
    <t>Average feed cost (€/t)</t>
  </si>
  <si>
    <t>Dry matter biomass harvested</t>
  </si>
  <si>
    <t>Quantity of dry matter biomass in biomass harvested (T)</t>
  </si>
  <si>
    <t>System description</t>
  </si>
  <si>
    <t>Quantity of dry matter biomass harvested (T)</t>
  </si>
  <si>
    <t>Reference value for yield of fish oil from wild fish: 4,30%</t>
  </si>
  <si>
    <t>Abattement filtre (%)</t>
  </si>
  <si>
    <t>Product</t>
  </si>
  <si>
    <t>Biomass lost (kg)</t>
  </si>
  <si>
    <t>Total biomass lost (kg)</t>
  </si>
  <si>
    <t>Only planned species. Please not considering present but not-planned species</t>
  </si>
  <si>
    <t>If not please enter 0</t>
  </si>
  <si>
    <t>Emergy Results</t>
  </si>
  <si>
    <t>About Biomass production</t>
  </si>
  <si>
    <t>About feed</t>
  </si>
  <si>
    <t>About economy</t>
  </si>
  <si>
    <t>About the energy used</t>
  </si>
  <si>
    <t>&lt;</t>
  </si>
  <si>
    <t>&gt;</t>
  </si>
  <si>
    <t>Item</t>
  </si>
  <si>
    <t>Less than 30%</t>
  </si>
  <si>
    <t>Between 30% and 50%</t>
  </si>
  <si>
    <t>Nota Bene: If one of the intermediate scores is 9, then final score is automatically 24. Else, it is equal to the sum of intermediate scores.</t>
  </si>
  <si>
    <t>More than 24</t>
  </si>
  <si>
    <t>Between 18 and 24</t>
  </si>
  <si>
    <t>Between 12 and 18</t>
  </si>
  <si>
    <t>Between 6 and 12</t>
  </si>
  <si>
    <t>PRD04</t>
  </si>
  <si>
    <t>PRD05</t>
  </si>
  <si>
    <t>Fat (%)</t>
  </si>
  <si>
    <t>Carbohydrate (%)</t>
  </si>
  <si>
    <t>Fibres (%)</t>
  </si>
  <si>
    <t>Ashes (%)</t>
  </si>
  <si>
    <t>Water (%)</t>
  </si>
  <si>
    <t>iaffd.com</t>
  </si>
  <si>
    <t>Black soldier fly meal, high,defatted, HermetiaDeutschland</t>
  </si>
  <si>
    <t>Black soldier fly meal, part,defatted, HermentiaDeutschland</t>
  </si>
  <si>
    <t>Calcium iodate, anhydrous, 64% I</t>
  </si>
  <si>
    <t>Dicalcium phosphate anydrous, DCP, CaHPO4,H2O</t>
  </si>
  <si>
    <t>Mineral premix IAFFD Standard, SW fish starter,  0,25%</t>
  </si>
  <si>
    <t>Mineral premix IAFFD Standard, SW shrimp broodstock,  0,25%</t>
  </si>
  <si>
    <t>Mineral premix IAFFD Standard, SW shrimp finisher,  0,25%</t>
  </si>
  <si>
    <t>Mineral premix IAFFD Standard, SW shrimp grower,  0,25%</t>
  </si>
  <si>
    <t>Mineral premix IAFFD Standard, SW shrimp starter,  0,25%</t>
  </si>
  <si>
    <t>Mineral premix, USSEC Standard, fish, 0,25%</t>
  </si>
  <si>
    <t>Mineral premix, USSEC Standard, shrimp, 0,25%</t>
  </si>
  <si>
    <t>Mono calcium phosphate, MCP, Ca(H2PO4)2,H2O</t>
  </si>
  <si>
    <t>Mono sodium phosphate, NaH2PO4, H2O</t>
  </si>
  <si>
    <t>Phytase, Ronozyme HiPhos Liquid, 1,000FYT/kg, 0,005%</t>
  </si>
  <si>
    <t>Potassium iodide, 68% I</t>
  </si>
  <si>
    <t>Protease, Ronozyme ProAct Liquid, 15,000PROT/kg, 0,02%</t>
  </si>
  <si>
    <t>Rovimix OVN premix, FW fish broodstock, DSM, 0,15%</t>
  </si>
  <si>
    <t>Rovimix OVN premix, FW fish finisher, DSM, 0,15%</t>
  </si>
  <si>
    <t>Rovimix OVN premix, FW fish grower, DSM, 0,15%</t>
  </si>
  <si>
    <t>Rovimix OVN premix, FW fish starter, DSM, 0,15%</t>
  </si>
  <si>
    <t>Rovimix OVN premix, FW shrimp broodstock, DSM, 0,2%</t>
  </si>
  <si>
    <t>Rovimix OVN premix, FW shrimp finisher, DSM, 0,2%</t>
  </si>
  <si>
    <t>Rovimix OVN premix, FW shrimp grower, DSM, 0,2%</t>
  </si>
  <si>
    <t>Rovimix OVN premix, FW shrimp starter, DSM, 0,2%</t>
  </si>
  <si>
    <t>Rovimix OVN premix, SW fish broodstock, DSM, 0,2%</t>
  </si>
  <si>
    <t>Rovimix OVN premix, SW fish finisher, DSM, 0,2%</t>
  </si>
  <si>
    <t>Rovimix OVN premix, SW fish grower, DSM, 0,2%</t>
  </si>
  <si>
    <t>Rovimix OVN premix, SW fish starter, DSM, 0,2%</t>
  </si>
  <si>
    <t>Rovimix OVN premix, SW shrimp broodstock, DSM, 0,2%</t>
  </si>
  <si>
    <t>Rovimix OVN premix, SW shrimp finisher, DSM, 0,2%</t>
  </si>
  <si>
    <t>Rovimix OVN premix, SW shrimp grower, DSM, 0,2%</t>
  </si>
  <si>
    <t>Rovimix OVN premix, SW shrimp starter, DSM, 0,2%</t>
  </si>
  <si>
    <t>Seaweed, dried (Nannochloropsis sp, and Isochrysis sp,)</t>
  </si>
  <si>
    <t>Silkworm pupae meal, defat,, dried</t>
  </si>
  <si>
    <t>Soybean meal, Navita AQ ULO, Schillinger Genetics Inc,</t>
  </si>
  <si>
    <t>Soybean meal, Schillinger Genetics Inc,</t>
  </si>
  <si>
    <t>Soybean meal, typical, Schillinger Genetics Inc,</t>
  </si>
  <si>
    <t>Vitamin premix IAFFD Standard, FW fish broodstock, 0,5%</t>
  </si>
  <si>
    <t>Vitamin premix IAFFD Standard, FW fish finisher, 0,5%</t>
  </si>
  <si>
    <t>Vitamin premix IAFFD Standard, FW fish grower, 0,5%</t>
  </si>
  <si>
    <t>Vitamin premix IAFFD Standard, FW shrimp broodstock, 0,4%</t>
  </si>
  <si>
    <t>Vitamin premix IAFFD Standard, FW shrimp finisher, 0,4%</t>
  </si>
  <si>
    <t>Vitamin premix IAFFD Standard, FW shrimp grower, 0,4%</t>
  </si>
  <si>
    <t>Vitamin premix IAFFD Standard, FW shrimp starter, 0,4%</t>
  </si>
  <si>
    <t>Vitamin premix IAFFD Standard, SW fish brood, 0,5%</t>
  </si>
  <si>
    <t>Vitamin premix IAFFD Standard, SW fish finisher, 0,5%</t>
  </si>
  <si>
    <t>Vitamin premix IAFFD Standard, SW fish grower, 0,5%</t>
  </si>
  <si>
    <t>Vitamin premix IAFFD Standard, SW fish starter, 0,5%</t>
  </si>
  <si>
    <t>Vitamin premix IAFFD Standard, SW shrimp brood, 0,4%</t>
  </si>
  <si>
    <t>Vitamin premix IAFFD Standard, SW shrimp finisher, 0,4%</t>
  </si>
  <si>
    <t>Vitamin premix IAFFD Standard, SW shrimp grower, 0,4%</t>
  </si>
  <si>
    <t>Vitamin premix IAFFD Standard, SW shrimp starter, 0,4%</t>
  </si>
  <si>
    <t>Vitamin premix, USSEC Standard, fish brood and starter, 0,5%</t>
  </si>
  <si>
    <t>Vitamin premix, USSEC standard, fish finisher, 0,5%</t>
  </si>
  <si>
    <t>Vitamin premix, USSEC standard, shrimp, 0,4%</t>
  </si>
  <si>
    <t>Vitamin premix,USSEC Standard, fish grower, 0,5%</t>
  </si>
  <si>
    <t>Vitamin premixIAFFD Standard, FW fish starter, 0,5%</t>
  </si>
  <si>
    <t>Xylanase, Ronozyme WX2000 Liquid, 250FXU/kg, 0,0125%</t>
  </si>
  <si>
    <t>Not determined</t>
  </si>
  <si>
    <t>Carbohydrates (%)</t>
  </si>
  <si>
    <t>Species</t>
  </si>
  <si>
    <t>Quantity</t>
  </si>
  <si>
    <t>CarboHydrate (%)</t>
  </si>
  <si>
    <t>Fibres</t>
  </si>
  <si>
    <t>Subsidies</t>
  </si>
  <si>
    <t>COD</t>
  </si>
  <si>
    <t>Ntot</t>
  </si>
  <si>
    <t>Outlet water</t>
  </si>
  <si>
    <t>Ptot</t>
  </si>
  <si>
    <t>FRREFM01</t>
  </si>
  <si>
    <t>Depreciation (Straight-line Depreciation Method)</t>
  </si>
  <si>
    <t>EXPENSES FOR EXTERNAL FACTORS OF PRODUCTION</t>
  </si>
  <si>
    <t>I</t>
  </si>
  <si>
    <t>EFE</t>
  </si>
  <si>
    <t>DISCOUNTED NET CASH FLOW</t>
  </si>
  <si>
    <t>NET INCREMENTAL DISCOUNTED CASH FLOW</t>
  </si>
  <si>
    <r>
      <t xml:space="preserve">NET CASH FLOW </t>
    </r>
    <r>
      <rPr>
        <sz val="8"/>
        <color rgb="FF0000FF"/>
        <rFont val="Arial"/>
        <family val="2"/>
      </rPr>
      <t>[CF = I - E]</t>
    </r>
  </si>
  <si>
    <t>NET PRESENT VALUE at PLANT END-OF-LIFE</t>
  </si>
  <si>
    <t>PROFITABILITY INDEX</t>
  </si>
  <si>
    <t>PI</t>
  </si>
  <si>
    <t>IRR</t>
  </si>
  <si>
    <t>YEARLY GVA</t>
  </si>
  <si>
    <t>YEARLY DISCOUNTED GVA</t>
  </si>
  <si>
    <t>AVERAGE YEARLY DISCOUNTED GVA</t>
  </si>
  <si>
    <t>YGVA</t>
  </si>
  <si>
    <t>YDGVA</t>
  </si>
  <si>
    <t>AYDGVA</t>
  </si>
  <si>
    <t>SENSITIVITY ANALYSIS of Discount rate</t>
  </si>
  <si>
    <t>&gt; 6 %</t>
  </si>
  <si>
    <t xml:space="preserve"> = 6 %</t>
  </si>
  <si>
    <t>&lt; 6 %</t>
  </si>
  <si>
    <t>Average Yearly Discounted Gross Value Added</t>
  </si>
  <si>
    <t>&gt; 0</t>
  </si>
  <si>
    <t xml:space="preserve"> = 0</t>
  </si>
  <si>
    <t>&lt; 0</t>
  </si>
  <si>
    <t>Additif premix, Brésil</t>
  </si>
  <si>
    <t xml:space="preserve">Additif premix, France FR </t>
  </si>
  <si>
    <t>Artemias Salt Lake US</t>
  </si>
  <si>
    <t>Blood meal</t>
  </si>
  <si>
    <t>Blue lupine</t>
  </si>
  <si>
    <t>Brewer's yeast dried</t>
  </si>
  <si>
    <t>Brewer'yeast dried, from sugarcane molasses</t>
  </si>
  <si>
    <t>Ca(HPO4).H2O Monocalcium phosphate</t>
  </si>
  <si>
    <t xml:space="preserve">Camelina meal </t>
  </si>
  <si>
    <t>Camelina oil</t>
  </si>
  <si>
    <t>Concentrate fat fish protein</t>
  </si>
  <si>
    <t>Concentrate fish protein</t>
  </si>
  <si>
    <t>Copra meal</t>
  </si>
  <si>
    <t>Corn</t>
  </si>
  <si>
    <t>Corn France</t>
  </si>
  <si>
    <t>Corn gluten</t>
  </si>
  <si>
    <t>Corn gluten Brasil</t>
  </si>
  <si>
    <t>Corn gluten feed Bresil</t>
  </si>
  <si>
    <t>Corn gluten feed France</t>
  </si>
  <si>
    <t>Corn gluten meal Bresil</t>
  </si>
  <si>
    <t>Corn gluten meal France</t>
  </si>
  <si>
    <t>Corn oil average Brazil</t>
  </si>
  <si>
    <t xml:space="preserve">Corn oil average French </t>
  </si>
  <si>
    <t>Coton meal</t>
  </si>
  <si>
    <t>Dehulled protein pea</t>
  </si>
  <si>
    <t>DL Methionine</t>
  </si>
  <si>
    <t>Faba Bean</t>
  </si>
  <si>
    <t>Feather meal</t>
  </si>
  <si>
    <t>Fish meal from Norway</t>
  </si>
  <si>
    <t>Fish meal from Peru (72)</t>
  </si>
  <si>
    <t xml:space="preserve">Fish meal from trimmings </t>
  </si>
  <si>
    <t>Fish oil from Norway</t>
  </si>
  <si>
    <t>Fish oil from Peru</t>
  </si>
  <si>
    <t xml:space="preserve">Fish oil from whitefish trimmings, with wastewater treatment, Europe </t>
  </si>
  <si>
    <t>Fishbone meal</t>
  </si>
  <si>
    <t>Fodder fat from palm oil</t>
  </si>
  <si>
    <t>Lactoserum</t>
  </si>
  <si>
    <t>Lactoserum unhydrated acide</t>
  </si>
  <si>
    <t>Linseed meal</t>
  </si>
  <si>
    <t>Linseed oil pressed</t>
  </si>
  <si>
    <t xml:space="preserve">L-Lysine HCl, France </t>
  </si>
  <si>
    <t>Manioc flour</t>
  </si>
  <si>
    <t>Mannanoligosaccharides, SAF-Mannan, LeSaffre</t>
  </si>
  <si>
    <t>Mealworm meal, dried, Nutrinsecta</t>
  </si>
  <si>
    <t>Meat and bone meal, 37% CP</t>
  </si>
  <si>
    <t>Meat and bone meal, 45% CP</t>
  </si>
  <si>
    <t>Meat and bone meal, 50% CP</t>
  </si>
  <si>
    <t xml:space="preserve">Meat and bone meal, 55% CP </t>
  </si>
  <si>
    <t>Meat and bone meal, 60% CP</t>
  </si>
  <si>
    <t>MEAT meal</t>
  </si>
  <si>
    <t>Meat meal 50</t>
  </si>
  <si>
    <t>Meat meal 60</t>
  </si>
  <si>
    <t>Meat meal, 55% CP</t>
  </si>
  <si>
    <t>Microbial protein concentrate, FeedKind, Calysta</t>
  </si>
  <si>
    <t>Milk, skimmed, powder</t>
  </si>
  <si>
    <t xml:space="preserve">Milk, whole, dried </t>
  </si>
  <si>
    <t>Millet, grain</t>
  </si>
  <si>
    <t>Mineral premix IAFFD Standard, FW fish broodstock,  0,25%</t>
  </si>
  <si>
    <t>Mineral premix IAFFD Standard, FW fish finisher,  0,25%</t>
  </si>
  <si>
    <t>Mineral premix IAFFD Standard, FW fish grower,  0,25%</t>
  </si>
  <si>
    <t>Mineral premix IAFFD Standard, FW fish starter,  0,25%</t>
  </si>
  <si>
    <t>Mineral premix IAFFD Standard, FW shrimp brood,  0,25%</t>
  </si>
  <si>
    <t>Mineral premix IAFFD Standard, FW shrimp finisher,  0,25%</t>
  </si>
  <si>
    <t>Mineral premix IAFFD Standard, FW shrimp grower,  0,25%</t>
  </si>
  <si>
    <t>Mineral premix IAFFD Standard, FW shrimp starter,  0,25%</t>
  </si>
  <si>
    <t>Mineral premix IAFFD Standard, SW fish brood,  0,25%</t>
  </si>
  <si>
    <t>Mineral premix IAFFD Standard, SW fish finisher,  0,25%</t>
  </si>
  <si>
    <t>Mineral premix IAFFD Standard, SW fish grower,  0,25%</t>
  </si>
  <si>
    <t>Others fodder from wheat starch process</t>
  </si>
  <si>
    <t>Palm fruit Indonesia</t>
  </si>
  <si>
    <t>Palm fruit Malaysia</t>
  </si>
  <si>
    <t>Palm oil refined (RBD) at mill Indonesia</t>
  </si>
  <si>
    <t>Powder milk</t>
  </si>
  <si>
    <t>Protein pea</t>
  </si>
  <si>
    <t>Protein pea dried</t>
  </si>
  <si>
    <t>Rape meal</t>
  </si>
  <si>
    <t>Rape oil average</t>
  </si>
  <si>
    <t>Rape oil pressing</t>
  </si>
  <si>
    <t>Rapeseed</t>
  </si>
  <si>
    <t>Rice</t>
  </si>
  <si>
    <t>Rice (Oryza sativa), India</t>
  </si>
  <si>
    <t>Rice feed Flour</t>
  </si>
  <si>
    <t>Rice meal</t>
  </si>
  <si>
    <t xml:space="preserve">Shrimp meal </t>
  </si>
  <si>
    <t>Soya bean extruded</t>
  </si>
  <si>
    <t>Soya bean toasted</t>
  </si>
  <si>
    <t>Soya oil</t>
  </si>
  <si>
    <t>Soybean meal  44</t>
  </si>
  <si>
    <t>Soybean meal 48</t>
  </si>
  <si>
    <t>Soybean meal 50</t>
  </si>
  <si>
    <t>Sunflower meal France</t>
  </si>
  <si>
    <t>Trash fish India</t>
  </si>
  <si>
    <t xml:space="preserve">Wheat </t>
  </si>
  <si>
    <t>Wheat bran flour half white</t>
  </si>
  <si>
    <t>Wheat flour</t>
  </si>
  <si>
    <t>Wheat gluten</t>
  </si>
  <si>
    <t>Wheat starch</t>
  </si>
  <si>
    <t xml:space="preserve">Wheat Straw </t>
  </si>
  <si>
    <t>White lupin (Dehulled and extruded)</t>
  </si>
  <si>
    <t>Winter Barley</t>
  </si>
  <si>
    <t>On-farm energy efficiency</t>
  </si>
  <si>
    <t>Average sales price</t>
  </si>
  <si>
    <t>Juvenile and seedling costs</t>
  </si>
  <si>
    <t>Subsidies weight</t>
  </si>
  <si>
    <t>Resistance to environmental constraints</t>
  </si>
  <si>
    <t>Independence from suppliers</t>
  </si>
  <si>
    <t>Independence from customers</t>
  </si>
  <si>
    <t>Assessment of job difficulty</t>
  </si>
  <si>
    <t>Employment of worker with disabilities</t>
  </si>
  <si>
    <t>Fish physical damage</t>
  </si>
  <si>
    <t>Health costs</t>
  </si>
  <si>
    <t>On-farm land area used</t>
  </si>
  <si>
    <t>Percentage of wild juveniles and seeds used</t>
  </si>
  <si>
    <t>Nitrogen-use efficiency</t>
  </si>
  <si>
    <t>Escapee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</si>
</sst>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 #,##0_-;_-* &quot;-&quot;_-;_-@_-"/>
    <numFmt numFmtId="43" formatCode="_-* #,##0.00_-;\-* #,##0.00_-;_-* &quot;-&quot;??_-;_-@_-"/>
    <numFmt numFmtId="164" formatCode="0.0"/>
    <numFmt numFmtId="165" formatCode="0.0%"/>
    <numFmt numFmtId="166" formatCode="_-* #,##0.00\ _€_-;\-* #,##0.00\ _€_-;_-* &quot;-&quot;??\ _€_-;_-@_-"/>
    <numFmt numFmtId="167" formatCode="0.00E+0;[=0]&quot;-&quot;;0.00E+0"/>
    <numFmt numFmtId="168" formatCode="#,##0.00\ &quot;€&quot;"/>
    <numFmt numFmtId="169" formatCode="#,##0.0"/>
    <numFmt numFmtId="170" formatCode="#,##0.0000"/>
    <numFmt numFmtId="171" formatCode="_-&quot;€&quot;\ * #,##0.00_-;\-&quot;€&quot;\ * #,##0.00_-;_-&quot;€&quot;\ * &quot;-&quot;??_-;_-@_-"/>
    <numFmt numFmtId="172" formatCode="0.0000"/>
    <numFmt numFmtId="173" formatCode="#,##0_ ;\-#,##0\ "/>
    <numFmt numFmtId="174" formatCode="_-* #,##0.000_-;\-* #,##0.000_-;_-* &quot;-&quot;??_-;_-@_-"/>
    <numFmt numFmtId="175" formatCode="#,##0.000"/>
    <numFmt numFmtId="176" formatCode="###0.000"/>
    <numFmt numFmtId="177" formatCode="_-* ###0.0000\ _€_-;\-* ###0.0000\ _€_-;_-* &quot;-&quot;????\ _€_-;_-@_-"/>
  </numFmts>
  <fonts count="58"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u/>
      <sz val="11"/>
      <color theme="1"/>
      <name val="Calibri"/>
      <family val="2"/>
      <scheme val="minor"/>
    </font>
    <font>
      <sz val="8"/>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1"/>
      <color theme="0"/>
      <name val="Calibri"/>
      <family val="2"/>
      <scheme val="minor"/>
    </font>
    <font>
      <sz val="11"/>
      <color rgb="FFC00000"/>
      <name val="Calibri"/>
      <family val="2"/>
      <scheme val="minor"/>
    </font>
    <font>
      <b/>
      <sz val="11"/>
      <color rgb="FFC00000"/>
      <name val="Calibri"/>
      <family val="2"/>
      <scheme val="minor"/>
    </font>
    <font>
      <b/>
      <sz val="11"/>
      <color theme="3"/>
      <name val="Calibri"/>
      <family val="2"/>
      <scheme val="minor"/>
    </font>
    <font>
      <sz val="10"/>
      <name val="Arial"/>
      <family val="2"/>
    </font>
    <font>
      <sz val="10"/>
      <color indexed="8"/>
      <name val="Arial"/>
      <family val="2"/>
    </font>
    <font>
      <sz val="9"/>
      <name val="Helvetica"/>
      <family val="2"/>
    </font>
    <font>
      <sz val="11"/>
      <color indexed="8"/>
      <name val="Calibri"/>
      <family val="2"/>
    </font>
    <font>
      <u/>
      <sz val="11"/>
      <color theme="10"/>
      <name val="Calibri"/>
      <family val="2"/>
      <scheme val="minor"/>
    </font>
    <font>
      <b/>
      <sz val="11"/>
      <color rgb="FFFF0000"/>
      <name val="Calibri"/>
      <family val="2"/>
      <scheme val="minor"/>
    </font>
    <font>
      <vertAlign val="superscript"/>
      <sz val="11"/>
      <color theme="1"/>
      <name val="Calibri"/>
      <family val="2"/>
      <scheme val="minor"/>
    </font>
    <font>
      <b/>
      <sz val="14"/>
      <color theme="1"/>
      <name val="Calibri"/>
      <family val="2"/>
      <scheme val="minor"/>
    </font>
    <font>
      <b/>
      <sz val="16"/>
      <color theme="1"/>
      <name val="Calibri"/>
      <family val="2"/>
      <scheme val="minor"/>
    </font>
    <font>
      <sz val="8"/>
      <color theme="1"/>
      <name val="Calibri"/>
      <family val="2"/>
      <scheme val="minor"/>
    </font>
    <font>
      <b/>
      <sz val="8"/>
      <color theme="1"/>
      <name val="Calibri"/>
      <family val="2"/>
      <scheme val="minor"/>
    </font>
    <font>
      <b/>
      <sz val="10"/>
      <color theme="1"/>
      <name val="Calibri"/>
      <family val="2"/>
      <scheme val="minor"/>
    </font>
    <font>
      <b/>
      <sz val="10"/>
      <color indexed="8"/>
      <name val="Arial"/>
      <family val="2"/>
    </font>
    <font>
      <sz val="8"/>
      <color indexed="8"/>
      <name val="Arial"/>
      <family val="2"/>
    </font>
    <font>
      <sz val="20"/>
      <name val="Calibri"/>
      <family val="2"/>
      <scheme val="minor"/>
    </font>
    <font>
      <b/>
      <sz val="9"/>
      <color theme="1"/>
      <name val="Calibri"/>
      <family val="2"/>
      <scheme val="minor"/>
    </font>
    <font>
      <b/>
      <sz val="12"/>
      <color theme="1"/>
      <name val="Calibri"/>
      <family val="2"/>
      <scheme val="minor"/>
    </font>
    <font>
      <sz val="14"/>
      <color theme="1"/>
      <name val="Calibri"/>
      <family val="2"/>
      <scheme val="minor"/>
    </font>
    <font>
      <b/>
      <sz val="9"/>
      <name val="Calibri"/>
      <family val="2"/>
      <scheme val="minor"/>
    </font>
    <font>
      <b/>
      <sz val="8"/>
      <name val="Calibri"/>
      <family val="2"/>
      <scheme val="minor"/>
    </font>
    <font>
      <u/>
      <sz val="8"/>
      <color theme="1"/>
      <name val="Calibri"/>
      <family val="2"/>
      <scheme val="minor"/>
    </font>
    <font>
      <b/>
      <sz val="8"/>
      <color indexed="81"/>
      <name val="Tahoma"/>
      <family val="2"/>
    </font>
    <font>
      <sz val="8"/>
      <color indexed="81"/>
      <name val="Tahoma"/>
      <family val="2"/>
    </font>
    <font>
      <sz val="10"/>
      <color theme="1"/>
      <name val="Calibri"/>
      <family val="2"/>
      <scheme val="minor"/>
    </font>
    <font>
      <b/>
      <sz val="11"/>
      <name val="Calibri"/>
      <family val="2"/>
      <scheme val="minor"/>
    </font>
    <font>
      <sz val="8"/>
      <color theme="1"/>
      <name val="Arial"/>
      <family val="2"/>
    </font>
    <font>
      <b/>
      <sz val="8"/>
      <color theme="0"/>
      <name val="Arial"/>
      <family val="2"/>
    </font>
    <font>
      <b/>
      <sz val="8"/>
      <color theme="1"/>
      <name val="Arial"/>
      <family val="2"/>
    </font>
    <font>
      <sz val="8"/>
      <name val="Arial"/>
      <family val="2"/>
    </font>
    <font>
      <b/>
      <sz val="8"/>
      <name val="Arial"/>
      <family val="2"/>
    </font>
    <font>
      <sz val="8"/>
      <color rgb="FFFF0000"/>
      <name val="Arial"/>
      <family val="2"/>
    </font>
    <font>
      <vertAlign val="subscript"/>
      <sz val="8"/>
      <name val="Arial"/>
      <family val="2"/>
    </font>
    <font>
      <sz val="8"/>
      <name val="Symbol"/>
      <family val="1"/>
      <charset val="2"/>
    </font>
    <font>
      <sz val="8"/>
      <color theme="0"/>
      <name val="Arial"/>
      <family val="2"/>
    </font>
    <font>
      <b/>
      <sz val="8"/>
      <color rgb="FFFF0000"/>
      <name val="Arial"/>
      <family val="2"/>
    </font>
    <font>
      <vertAlign val="subscript"/>
      <sz val="8"/>
      <color theme="1"/>
      <name val="Arial"/>
      <family val="2"/>
    </font>
    <font>
      <b/>
      <sz val="10"/>
      <color theme="0"/>
      <name val="Arial"/>
      <family val="2"/>
    </font>
    <font>
      <sz val="8"/>
      <color rgb="FF0000FF"/>
      <name val="Arial"/>
      <family val="2"/>
    </font>
    <font>
      <b/>
      <sz val="8"/>
      <color rgb="FF0000FF"/>
      <name val="Arial"/>
      <family val="2"/>
    </font>
    <font>
      <sz val="7"/>
      <color theme="1"/>
      <name val="Arial"/>
      <family val="2"/>
    </font>
    <font>
      <sz val="10"/>
      <color theme="0"/>
      <name val="Arial"/>
      <family val="2"/>
    </font>
    <font>
      <sz val="8"/>
      <color rgb="FF008000"/>
      <name val="Arial"/>
      <family val="2"/>
    </font>
  </fonts>
  <fills count="33">
    <fill>
      <patternFill patternType="none"/>
    </fill>
    <fill>
      <patternFill patternType="gray125"/>
    </fill>
    <fill>
      <patternFill patternType="solid">
        <fgColor rgb="FFFFC7CE"/>
      </patternFill>
    </fill>
    <fill>
      <patternFill patternType="solid">
        <fgColor rgb="FFFFCC99"/>
      </patternFill>
    </fill>
    <fill>
      <patternFill patternType="solid">
        <fgColor rgb="FFF2F2F2"/>
      </patternFill>
    </fill>
    <fill>
      <patternFill patternType="solid">
        <fgColor rgb="FFFFFFCC"/>
      </patternFill>
    </fill>
    <fill>
      <patternFill patternType="solid">
        <fgColor rgb="FFFFFF00"/>
        <bgColor indexed="64"/>
      </patternFill>
    </fill>
    <fill>
      <patternFill patternType="solid">
        <fgColor theme="0"/>
        <bgColor indexed="64"/>
      </patternFill>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rgb="FFFF99FF"/>
        <bgColor indexed="64"/>
      </patternFill>
    </fill>
    <fill>
      <patternFill patternType="solid">
        <fgColor rgb="FFFF6600"/>
        <bgColor indexed="64"/>
      </patternFill>
    </fill>
    <fill>
      <patternFill patternType="solid">
        <fgColor theme="2" tint="-0.249977111117893"/>
        <bgColor indexed="64"/>
      </patternFill>
    </fill>
    <fill>
      <patternFill patternType="solid">
        <fgColor rgb="FFFF66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FFC000"/>
        <bgColor indexed="64"/>
      </patternFill>
    </fill>
    <fill>
      <patternFill patternType="solid">
        <fgColor rgb="FFFFFF66"/>
        <bgColor indexed="64"/>
      </patternFill>
    </fill>
    <fill>
      <patternFill patternType="solid">
        <fgColor rgb="FF00B0F0"/>
        <bgColor indexed="64"/>
      </patternFill>
    </fill>
    <fill>
      <patternFill patternType="solid">
        <fgColor rgb="FF66FF33"/>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809CEC"/>
        <bgColor indexed="64"/>
      </patternFill>
    </fill>
    <fill>
      <patternFill patternType="solid">
        <fgColor rgb="FFFF0000"/>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FFFFCC"/>
        <bgColor indexed="64"/>
      </patternFill>
    </fill>
    <fill>
      <patternFill patternType="solid">
        <fgColor theme="7" tint="0.79998168889431442"/>
        <bgColor indexed="64"/>
      </patternFill>
    </fill>
  </fills>
  <borders count="90">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theme="4" tint="0.39997558519241921"/>
      </bottom>
      <diagonal/>
    </border>
    <border>
      <left style="thin">
        <color rgb="FFB2B2B2"/>
      </left>
      <right style="thin">
        <color rgb="FFB2B2B2"/>
      </right>
      <top style="thin">
        <color rgb="FFB2B2B2"/>
      </top>
      <bottom style="thin">
        <color indexed="64"/>
      </bottom>
      <diagonal/>
    </border>
    <border>
      <left style="thin">
        <color rgb="FFB2B2B2"/>
      </left>
      <right style="thin">
        <color rgb="FFB2B2B2"/>
      </right>
      <top/>
      <bottom style="thin">
        <color rgb="FFB2B2B2"/>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theme="3"/>
      </left>
      <right style="medium">
        <color theme="3"/>
      </right>
      <top style="medium">
        <color theme="3"/>
      </top>
      <bottom style="thin">
        <color theme="3"/>
      </bottom>
      <diagonal/>
    </border>
    <border>
      <left style="medium">
        <color theme="3"/>
      </left>
      <right/>
      <top style="medium">
        <color theme="3"/>
      </top>
      <bottom style="thin">
        <color theme="3"/>
      </bottom>
      <diagonal/>
    </border>
    <border>
      <left style="thin">
        <color theme="3"/>
      </left>
      <right style="medium">
        <color theme="3"/>
      </right>
      <top style="thin">
        <color theme="3"/>
      </top>
      <bottom style="thin">
        <color theme="3"/>
      </bottom>
      <diagonal/>
    </border>
    <border>
      <left style="medium">
        <color theme="3"/>
      </left>
      <right/>
      <top style="thin">
        <color theme="3"/>
      </top>
      <bottom style="thin">
        <color theme="3"/>
      </bottom>
      <diagonal/>
    </border>
    <border>
      <left style="thin">
        <color theme="3"/>
      </left>
      <right style="medium">
        <color theme="3"/>
      </right>
      <top style="thin">
        <color theme="3"/>
      </top>
      <bottom style="medium">
        <color theme="3"/>
      </bottom>
      <diagonal/>
    </border>
    <border>
      <left style="medium">
        <color theme="3"/>
      </left>
      <right/>
      <top style="thin">
        <color theme="3"/>
      </top>
      <bottom style="medium">
        <color theme="3"/>
      </bottom>
      <diagonal/>
    </border>
    <border>
      <left/>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right style="thin">
        <color indexed="64"/>
      </right>
      <top/>
      <bottom style="medium">
        <color indexed="64"/>
      </bottom>
      <diagonal/>
    </border>
    <border>
      <left/>
      <right style="thin">
        <color indexed="64"/>
      </right>
      <top style="medium">
        <color indexed="64"/>
      </top>
      <bottom/>
      <diagonal/>
    </border>
  </borders>
  <cellStyleXfs count="34">
    <xf numFmtId="0" fontId="0" fillId="0" borderId="0"/>
    <xf numFmtId="0" fontId="2" fillId="0" borderId="1" applyNumberFormat="0" applyFill="0" applyAlignment="0" applyProtection="0"/>
    <xf numFmtId="0" fontId="3" fillId="0" borderId="2" applyNumberFormat="0" applyFill="0" applyAlignment="0" applyProtection="0"/>
    <xf numFmtId="0" fontId="4" fillId="2" borderId="0" applyNumberFormat="0" applyBorder="0" applyAlignment="0" applyProtection="0"/>
    <xf numFmtId="0" fontId="5" fillId="3" borderId="3" applyNumberFormat="0" applyAlignment="0" applyProtection="0"/>
    <xf numFmtId="0" fontId="6" fillId="4" borderId="4" applyNumberFormat="0" applyAlignment="0" applyProtection="0"/>
    <xf numFmtId="0" fontId="1" fillId="5" borderId="5" applyNumberFormat="0" applyFont="0" applyAlignment="0" applyProtection="0"/>
    <xf numFmtId="9" fontId="1" fillId="0" borderId="0" applyFont="0" applyFill="0" applyBorder="0" applyAlignment="0" applyProtection="0"/>
    <xf numFmtId="0" fontId="15" fillId="0" borderId="49" applyNumberFormat="0" applyFill="0" applyAlignment="0" applyProtection="0"/>
    <xf numFmtId="0" fontId="16" fillId="0" borderId="0"/>
    <xf numFmtId="0" fontId="16" fillId="0" borderId="0"/>
    <xf numFmtId="0" fontId="16" fillId="0" borderId="0"/>
    <xf numFmtId="0" fontId="18" fillId="10" borderId="0">
      <alignment horizontal="left" vertical="center"/>
    </xf>
    <xf numFmtId="0" fontId="18" fillId="9" borderId="0">
      <alignment horizontal="left" vertical="center"/>
    </xf>
    <xf numFmtId="0" fontId="18" fillId="9" borderId="0">
      <alignment horizontal="left" vertical="center"/>
    </xf>
    <xf numFmtId="167" fontId="16" fillId="0" borderId="0">
      <alignment horizontal="center" vertical="center"/>
    </xf>
    <xf numFmtId="0" fontId="18" fillId="8" borderId="0">
      <alignment horizontal="left" vertical="center"/>
    </xf>
    <xf numFmtId="0" fontId="17" fillId="0" borderId="0"/>
    <xf numFmtId="166" fontId="19" fillId="0" borderId="0" applyFont="0" applyFill="0" applyBorder="0" applyAlignment="0" applyProtection="0"/>
    <xf numFmtId="0" fontId="20" fillId="0" borderId="0" applyNumberFormat="0" applyFill="0" applyBorder="0" applyAlignment="0" applyProtection="0"/>
    <xf numFmtId="43" fontId="1" fillId="0" borderId="0" applyFont="0" applyFill="0" applyBorder="0" applyAlignment="0" applyProtection="0"/>
    <xf numFmtId="0" fontId="41" fillId="0" borderId="0"/>
    <xf numFmtId="0" fontId="16" fillId="0" borderId="0"/>
    <xf numFmtId="9" fontId="16" fillId="0" borderId="0" applyFont="0" applyFill="0" applyBorder="0" applyAlignment="0" applyProtection="0"/>
    <xf numFmtId="171" fontId="16" fillId="0" borderId="0" applyFont="0" applyFill="0" applyBorder="0" applyAlignment="0" applyProtection="0"/>
    <xf numFmtId="43" fontId="16" fillId="0" borderId="0" applyFont="0" applyFill="0" applyBorder="0" applyAlignment="0" applyProtection="0"/>
    <xf numFmtId="0" fontId="16" fillId="0" borderId="0"/>
    <xf numFmtId="0" fontId="1" fillId="0" borderId="0"/>
    <xf numFmtId="9" fontId="19" fillId="0" borderId="0" applyFont="0" applyFill="0" applyBorder="0" applyAlignment="0" applyProtection="0"/>
    <xf numFmtId="171" fontId="41" fillId="0" borderId="0" applyFont="0" applyFill="0" applyBorder="0" applyAlignment="0" applyProtection="0"/>
    <xf numFmtId="43" fontId="41" fillId="0" borderId="0" applyFont="0" applyFill="0" applyBorder="0" applyAlignment="0" applyProtection="0"/>
    <xf numFmtId="9" fontId="41" fillId="0" borderId="0" applyFont="0" applyFill="0" applyBorder="0" applyAlignment="0" applyProtection="0"/>
    <xf numFmtId="0" fontId="16" fillId="0" borderId="0"/>
    <xf numFmtId="9" fontId="41" fillId="0" borderId="0" applyFont="0" applyFill="0" applyBorder="0" applyAlignment="0" applyProtection="0"/>
  </cellStyleXfs>
  <cellXfs count="1069">
    <xf numFmtId="0" fontId="0" fillId="0" borderId="0" xfId="0"/>
    <xf numFmtId="0" fontId="3" fillId="0" borderId="2" xfId="2"/>
    <xf numFmtId="0" fontId="2" fillId="0" borderId="1" xfId="1"/>
    <xf numFmtId="0" fontId="0" fillId="0" borderId="7" xfId="0" applyBorder="1"/>
    <xf numFmtId="0" fontId="0" fillId="0" borderId="0" xfId="0" applyBorder="1"/>
    <xf numFmtId="0" fontId="0" fillId="0" borderId="12" xfId="0" applyBorder="1"/>
    <xf numFmtId="0" fontId="0" fillId="0" borderId="0" xfId="0" applyFill="1" applyBorder="1"/>
    <xf numFmtId="0" fontId="0" fillId="0" borderId="7" xfId="0" applyFill="1" applyBorder="1"/>
    <xf numFmtId="0" fontId="0" fillId="0" borderId="12" xfId="0" applyFill="1" applyBorder="1"/>
    <xf numFmtId="0" fontId="2" fillId="0" borderId="1" xfId="1" applyAlignment="1">
      <alignment vertical="center"/>
    </xf>
    <xf numFmtId="0" fontId="0" fillId="0" borderId="21" xfId="0" applyBorder="1"/>
    <xf numFmtId="0" fontId="0" fillId="0" borderId="22" xfId="0" applyBorder="1"/>
    <xf numFmtId="0" fontId="0" fillId="0" borderId="23" xfId="0" applyBorder="1"/>
    <xf numFmtId="0" fontId="0" fillId="0" borderId="25" xfId="0" applyBorder="1"/>
    <xf numFmtId="0" fontId="0" fillId="0" borderId="27" xfId="0" applyBorder="1"/>
    <xf numFmtId="0" fontId="0" fillId="0" borderId="28" xfId="0" applyBorder="1"/>
    <xf numFmtId="0" fontId="0" fillId="0" borderId="30" xfId="0" applyBorder="1"/>
    <xf numFmtId="0" fontId="0" fillId="0" borderId="21" xfId="0" applyFill="1" applyBorder="1"/>
    <xf numFmtId="0" fontId="0" fillId="0" borderId="25" xfId="0" applyFill="1" applyBorder="1"/>
    <xf numFmtId="0" fontId="0" fillId="0" borderId="27" xfId="0" applyFill="1" applyBorder="1"/>
    <xf numFmtId="0" fontId="0" fillId="0" borderId="28" xfId="0" applyFill="1" applyBorder="1"/>
    <xf numFmtId="0" fontId="0" fillId="0" borderId="33" xfId="0" applyBorder="1"/>
    <xf numFmtId="0" fontId="0" fillId="0" borderId="27" xfId="0" applyBorder="1" applyAlignment="1">
      <alignment vertical="center"/>
    </xf>
    <xf numFmtId="0" fontId="0" fillId="0" borderId="24" xfId="0" applyBorder="1"/>
    <xf numFmtId="0" fontId="0" fillId="0" borderId="26" xfId="0" applyBorder="1"/>
    <xf numFmtId="0" fontId="0" fillId="0" borderId="29" xfId="0" applyBorder="1"/>
    <xf numFmtId="0" fontId="0" fillId="0" borderId="34" xfId="0" applyBorder="1"/>
    <xf numFmtId="2" fontId="0" fillId="0" borderId="0" xfId="0" applyNumberFormat="1" applyBorder="1"/>
    <xf numFmtId="0" fontId="0" fillId="0" borderId="17" xfId="0" applyFill="1" applyBorder="1"/>
    <xf numFmtId="0" fontId="9" fillId="0" borderId="21" xfId="0" applyFont="1" applyBorder="1"/>
    <xf numFmtId="0" fontId="0" fillId="0" borderId="21" xfId="0" applyBorder="1" applyAlignment="1">
      <alignment wrapText="1"/>
    </xf>
    <xf numFmtId="0" fontId="9" fillId="0" borderId="28" xfId="0" applyFont="1" applyBorder="1"/>
    <xf numFmtId="0" fontId="0" fillId="0" borderId="22" xfId="0" applyBorder="1" applyAlignment="1">
      <alignment vertical="center"/>
    </xf>
    <xf numFmtId="0" fontId="11" fillId="0" borderId="23" xfId="0" applyFont="1" applyFill="1" applyBorder="1"/>
    <xf numFmtId="0" fontId="0" fillId="0" borderId="21" xfId="0" applyBorder="1" applyAlignment="1">
      <alignment vertical="center" wrapText="1"/>
    </xf>
    <xf numFmtId="0" fontId="0" fillId="0" borderId="16" xfId="0" applyBorder="1" applyAlignment="1">
      <alignment vertical="center" wrapText="1"/>
    </xf>
    <xf numFmtId="0" fontId="7" fillId="0" borderId="34" xfId="0" applyFont="1" applyBorder="1"/>
    <xf numFmtId="0" fontId="7" fillId="0" borderId="35" xfId="0" applyFont="1" applyBorder="1"/>
    <xf numFmtId="0" fontId="7" fillId="0" borderId="36" xfId="0" applyFont="1" applyBorder="1"/>
    <xf numFmtId="0" fontId="0" fillId="0" borderId="14" xfId="0" applyBorder="1" applyAlignment="1">
      <alignment vertical="center" wrapText="1"/>
    </xf>
    <xf numFmtId="0" fontId="13" fillId="0" borderId="0" xfId="0" applyFont="1"/>
    <xf numFmtId="0" fontId="0" fillId="0" borderId="44" xfId="0" applyBorder="1"/>
    <xf numFmtId="0" fontId="0" fillId="0" borderId="45" xfId="0" applyBorder="1"/>
    <xf numFmtId="0" fontId="14" fillId="0" borderId="0" xfId="0" applyFont="1"/>
    <xf numFmtId="0" fontId="0" fillId="0" borderId="46" xfId="0" applyBorder="1"/>
    <xf numFmtId="0" fontId="10" fillId="0" borderId="40" xfId="0" applyFont="1" applyBorder="1"/>
    <xf numFmtId="9" fontId="0" fillId="0" borderId="0" xfId="7" applyFont="1"/>
    <xf numFmtId="0" fontId="9" fillId="0" borderId="26" xfId="0" applyFont="1" applyBorder="1"/>
    <xf numFmtId="0" fontId="11" fillId="0" borderId="21" xfId="0" applyFont="1" applyFill="1" applyBorder="1"/>
    <xf numFmtId="0" fontId="11" fillId="0" borderId="21" xfId="0" applyFont="1" applyBorder="1"/>
    <xf numFmtId="0" fontId="11" fillId="0" borderId="23" xfId="0" applyFont="1" applyBorder="1"/>
    <xf numFmtId="0" fontId="11" fillId="0" borderId="21" xfId="0" applyFont="1" applyBorder="1" applyAlignment="1">
      <alignment wrapText="1"/>
    </xf>
    <xf numFmtId="0" fontId="11" fillId="0" borderId="28" xfId="0" applyFont="1" applyBorder="1"/>
    <xf numFmtId="0" fontId="11" fillId="0" borderId="7" xfId="0" applyFont="1" applyFill="1" applyBorder="1"/>
    <xf numFmtId="0" fontId="11" fillId="0" borderId="0" xfId="0" applyFont="1" applyFill="1" applyBorder="1"/>
    <xf numFmtId="0" fontId="11" fillId="0" borderId="12" xfId="0" applyFont="1" applyFill="1" applyBorder="1"/>
    <xf numFmtId="0" fontId="0" fillId="7" borderId="0" xfId="0" applyFill="1" applyBorder="1"/>
    <xf numFmtId="0" fontId="0" fillId="0" borderId="0" xfId="0" applyFont="1"/>
    <xf numFmtId="0" fontId="0" fillId="7" borderId="0" xfId="0" applyFill="1"/>
    <xf numFmtId="0" fontId="0" fillId="0" borderId="0" xfId="0"/>
    <xf numFmtId="0" fontId="0" fillId="0" borderId="0" xfId="0" applyFill="1"/>
    <xf numFmtId="0" fontId="0" fillId="0" borderId="0" xfId="0" applyAlignment="1">
      <alignment horizontal="right"/>
    </xf>
    <xf numFmtId="0" fontId="0" fillId="0" borderId="7" xfId="0" applyBorder="1"/>
    <xf numFmtId="10" fontId="0" fillId="0" borderId="0" xfId="0" applyNumberFormat="1"/>
    <xf numFmtId="0" fontId="0" fillId="0" borderId="12" xfId="0" applyBorder="1"/>
    <xf numFmtId="0" fontId="0" fillId="0" borderId="25" xfId="0" applyBorder="1" applyAlignment="1">
      <alignment horizontal="left"/>
    </xf>
    <xf numFmtId="0" fontId="0" fillId="0" borderId="0" xfId="0" applyFill="1" applyBorder="1" applyAlignment="1">
      <alignment horizontal="right"/>
    </xf>
    <xf numFmtId="0" fontId="15" fillId="0" borderId="49" xfId="8"/>
    <xf numFmtId="10" fontId="0" fillId="0" borderId="0" xfId="7" applyNumberFormat="1" applyFont="1"/>
    <xf numFmtId="10" fontId="0" fillId="0" borderId="0" xfId="7" applyNumberFormat="1" applyFont="1" applyFill="1"/>
    <xf numFmtId="9" fontId="11" fillId="0" borderId="21" xfId="0" applyNumberFormat="1" applyFont="1" applyBorder="1"/>
    <xf numFmtId="0" fontId="0" fillId="0" borderId="0" xfId="7" applyNumberFormat="1" applyFont="1"/>
    <xf numFmtId="0" fontId="0" fillId="0" borderId="7" xfId="0" applyFill="1" applyBorder="1" applyAlignment="1">
      <alignment horizontal="right"/>
    </xf>
    <xf numFmtId="0" fontId="0" fillId="0" borderId="12" xfId="0" applyFill="1" applyBorder="1" applyAlignment="1">
      <alignment horizontal="right"/>
    </xf>
    <xf numFmtId="0" fontId="3" fillId="0" borderId="2" xfId="2" applyAlignment="1">
      <alignment horizontal="right"/>
    </xf>
    <xf numFmtId="0" fontId="0" fillId="0" borderId="7" xfId="0" applyBorder="1" applyAlignment="1">
      <alignment horizontal="right"/>
    </xf>
    <xf numFmtId="0" fontId="0" fillId="0" borderId="0" xfId="0" applyBorder="1" applyAlignment="1">
      <alignment horizontal="right"/>
    </xf>
    <xf numFmtId="0" fontId="0" fillId="0" borderId="12" xfId="0" applyBorder="1" applyAlignment="1">
      <alignment horizontal="right"/>
    </xf>
    <xf numFmtId="0" fontId="15" fillId="0" borderId="49" xfId="8" applyFill="1" applyBorder="1"/>
    <xf numFmtId="0" fontId="0" fillId="0" borderId="0" xfId="0" applyAlignment="1">
      <alignment wrapText="1"/>
    </xf>
    <xf numFmtId="0" fontId="3" fillId="0" borderId="2" xfId="2" applyAlignment="1">
      <alignment horizontal="center"/>
    </xf>
    <xf numFmtId="0" fontId="0" fillId="0" borderId="0" xfId="0" applyAlignment="1">
      <alignment horizontal="center"/>
    </xf>
    <xf numFmtId="0" fontId="2" fillId="0" borderId="1" xfId="1" applyAlignment="1">
      <alignment horizontal="center"/>
    </xf>
    <xf numFmtId="0" fontId="9" fillId="0" borderId="29" xfId="0" applyFont="1" applyBorder="1"/>
    <xf numFmtId="10" fontId="0" fillId="0" borderId="0" xfId="7" applyNumberFormat="1" applyFont="1" applyFill="1" applyBorder="1" applyAlignment="1">
      <alignment vertical="center" wrapText="1"/>
    </xf>
    <xf numFmtId="0" fontId="0" fillId="7" borderId="7" xfId="0" applyFill="1" applyBorder="1"/>
    <xf numFmtId="0" fontId="0" fillId="7" borderId="12" xfId="0" applyFill="1" applyBorder="1"/>
    <xf numFmtId="0" fontId="0" fillId="7" borderId="7" xfId="0" applyFill="1" applyBorder="1" applyAlignment="1">
      <alignment horizontal="right"/>
    </xf>
    <xf numFmtId="0" fontId="0" fillId="7" borderId="12" xfId="0" applyFill="1" applyBorder="1" applyAlignment="1">
      <alignment horizontal="right"/>
    </xf>
    <xf numFmtId="0" fontId="0" fillId="7" borderId="0" xfId="0" applyFill="1" applyAlignment="1">
      <alignment horizontal="right"/>
    </xf>
    <xf numFmtId="0" fontId="0" fillId="0" borderId="52" xfId="0" applyBorder="1" applyAlignment="1">
      <alignment wrapText="1"/>
    </xf>
    <xf numFmtId="0" fontId="0" fillId="0" borderId="35" xfId="0" applyBorder="1"/>
    <xf numFmtId="0" fontId="0" fillId="0" borderId="36" xfId="0" applyBorder="1"/>
    <xf numFmtId="0" fontId="0" fillId="0" borderId="14" xfId="0" applyBorder="1"/>
    <xf numFmtId="9" fontId="0" fillId="0" borderId="35" xfId="0" applyNumberFormat="1" applyBorder="1"/>
    <xf numFmtId="0" fontId="11" fillId="0" borderId="7" xfId="3" applyFont="1" applyFill="1" applyBorder="1"/>
    <xf numFmtId="0" fontId="11" fillId="0" borderId="0" xfId="3" applyFont="1" applyFill="1" applyBorder="1"/>
    <xf numFmtId="0" fontId="11" fillId="0" borderId="12" xfId="3" applyFont="1" applyFill="1" applyBorder="1"/>
    <xf numFmtId="0" fontId="0" fillId="11" borderId="33" xfId="0" applyFill="1" applyBorder="1"/>
    <xf numFmtId="0" fontId="0" fillId="0" borderId="32" xfId="0" applyBorder="1"/>
    <xf numFmtId="0" fontId="0" fillId="12" borderId="25" xfId="0" applyFill="1" applyBorder="1"/>
    <xf numFmtId="0" fontId="0" fillId="13" borderId="25" xfId="0" applyFill="1" applyBorder="1"/>
    <xf numFmtId="0" fontId="0" fillId="14" borderId="27" xfId="0" applyFill="1" applyBorder="1"/>
    <xf numFmtId="0" fontId="0" fillId="11" borderId="23" xfId="0" applyFill="1" applyBorder="1"/>
    <xf numFmtId="0" fontId="0" fillId="11" borderId="21" xfId="0" applyFill="1" applyBorder="1"/>
    <xf numFmtId="49" fontId="0" fillId="11" borderId="21" xfId="0" applyNumberFormat="1" applyFill="1" applyBorder="1"/>
    <xf numFmtId="0" fontId="0" fillId="11" borderId="23" xfId="0" applyFill="1" applyBorder="1" applyAlignment="1">
      <alignment wrapText="1"/>
    </xf>
    <xf numFmtId="0" fontId="0" fillId="11" borderId="21" xfId="0" applyFill="1" applyBorder="1" applyAlignment="1">
      <alignment wrapText="1"/>
    </xf>
    <xf numFmtId="0" fontId="0" fillId="11" borderId="28" xfId="0" applyFill="1" applyBorder="1"/>
    <xf numFmtId="0" fontId="0" fillId="11" borderId="16" xfId="0" applyFill="1" applyBorder="1"/>
    <xf numFmtId="0" fontId="0" fillId="11" borderId="47" xfId="0" applyFill="1" applyBorder="1"/>
    <xf numFmtId="0" fontId="0" fillId="11" borderId="16" xfId="0" applyFill="1" applyBorder="1" applyAlignment="1">
      <alignment horizontal="center" vertical="center"/>
    </xf>
    <xf numFmtId="165" fontId="0" fillId="11" borderId="24" xfId="0" applyNumberFormat="1" applyFill="1" applyBorder="1"/>
    <xf numFmtId="10" fontId="0" fillId="11" borderId="26" xfId="0" applyNumberFormat="1" applyFill="1" applyBorder="1"/>
    <xf numFmtId="0" fontId="0" fillId="11" borderId="29" xfId="0" applyFill="1" applyBorder="1"/>
    <xf numFmtId="0" fontId="0" fillId="14" borderId="24" xfId="0" applyFill="1" applyBorder="1"/>
    <xf numFmtId="0" fontId="0" fillId="14" borderId="26" xfId="0" applyFill="1" applyBorder="1"/>
    <xf numFmtId="0" fontId="0" fillId="14" borderId="29" xfId="0" applyFill="1" applyBorder="1"/>
    <xf numFmtId="0" fontId="12" fillId="14" borderId="20" xfId="0" applyFont="1" applyFill="1" applyBorder="1"/>
    <xf numFmtId="0" fontId="12" fillId="14" borderId="18" xfId="0" applyFont="1" applyFill="1" applyBorder="1"/>
    <xf numFmtId="0" fontId="0" fillId="14" borderId="32" xfId="0" applyFill="1" applyBorder="1"/>
    <xf numFmtId="0" fontId="0" fillId="14" borderId="48" xfId="0" applyFill="1" applyBorder="1"/>
    <xf numFmtId="0" fontId="0" fillId="14" borderId="31" xfId="0" applyFill="1" applyBorder="1"/>
    <xf numFmtId="0" fontId="0" fillId="14" borderId="36" xfId="0" applyFill="1" applyBorder="1"/>
    <xf numFmtId="164" fontId="12" fillId="14" borderId="20" xfId="0" applyNumberFormat="1" applyFont="1" applyFill="1" applyBorder="1"/>
    <xf numFmtId="0" fontId="12" fillId="14" borderId="36" xfId="0" applyFont="1" applyFill="1" applyBorder="1"/>
    <xf numFmtId="0" fontId="0" fillId="14" borderId="0" xfId="0" applyFill="1"/>
    <xf numFmtId="9" fontId="0" fillId="14" borderId="0" xfId="7" applyFont="1" applyFill="1"/>
    <xf numFmtId="164" fontId="0" fillId="14" borderId="0" xfId="0" applyNumberFormat="1" applyFill="1"/>
    <xf numFmtId="168" fontId="0" fillId="14" borderId="21" xfId="0" applyNumberFormat="1" applyFill="1" applyBorder="1"/>
    <xf numFmtId="0" fontId="0" fillId="14" borderId="21" xfId="0" applyFill="1" applyBorder="1"/>
    <xf numFmtId="0" fontId="0" fillId="0" borderId="0" xfId="0" applyAlignment="1">
      <alignment horizontal="right"/>
    </xf>
    <xf numFmtId="9" fontId="0" fillId="0" borderId="26" xfId="0" applyNumberFormat="1" applyBorder="1"/>
    <xf numFmtId="9" fontId="11" fillId="0" borderId="26" xfId="0" applyNumberFormat="1" applyFont="1" applyBorder="1"/>
    <xf numFmtId="9" fontId="9" fillId="0" borderId="26" xfId="0" applyNumberFormat="1" applyFont="1" applyBorder="1"/>
    <xf numFmtId="0" fontId="0" fillId="0" borderId="26" xfId="0" applyBorder="1" applyAlignment="1">
      <alignment wrapText="1"/>
    </xf>
    <xf numFmtId="0" fontId="11" fillId="0" borderId="26" xfId="0" applyFont="1" applyFill="1" applyBorder="1"/>
    <xf numFmtId="0" fontId="0" fillId="0" borderId="29" xfId="0" applyFill="1" applyBorder="1" applyAlignment="1">
      <alignment wrapText="1"/>
    </xf>
    <xf numFmtId="0" fontId="9" fillId="0" borderId="24" xfId="0" applyFont="1" applyBorder="1"/>
    <xf numFmtId="0" fontId="11" fillId="0" borderId="26" xfId="0" applyFont="1" applyBorder="1"/>
    <xf numFmtId="0" fontId="11" fillId="0" borderId="24" xfId="0" applyFont="1" applyBorder="1"/>
    <xf numFmtId="0" fontId="11" fillId="0" borderId="29" xfId="0" applyFont="1" applyBorder="1"/>
    <xf numFmtId="0" fontId="11" fillId="0" borderId="24" xfId="0" applyFont="1" applyFill="1" applyBorder="1"/>
    <xf numFmtId="0" fontId="11" fillId="0" borderId="26" xfId="0" applyFont="1" applyBorder="1" applyAlignment="1">
      <alignment wrapText="1"/>
    </xf>
    <xf numFmtId="0" fontId="10" fillId="0" borderId="41" xfId="0" applyFont="1" applyBorder="1" applyAlignment="1">
      <alignment horizontal="center"/>
    </xf>
    <xf numFmtId="0" fontId="10" fillId="0" borderId="42" xfId="0" applyFont="1" applyBorder="1" applyAlignment="1">
      <alignment horizontal="center"/>
    </xf>
    <xf numFmtId="0" fontId="0" fillId="0" borderId="0" xfId="0" applyAlignment="1">
      <alignment horizontal="center"/>
    </xf>
    <xf numFmtId="0" fontId="23" fillId="0" borderId="0" xfId="0" applyFont="1" applyAlignment="1">
      <alignment wrapText="1"/>
    </xf>
    <xf numFmtId="0" fontId="10" fillId="0" borderId="0" xfId="0" applyFont="1" applyAlignment="1">
      <alignment wrapText="1"/>
    </xf>
    <xf numFmtId="0" fontId="0" fillId="17" borderId="0" xfId="0" applyFill="1" applyAlignment="1">
      <alignment wrapText="1"/>
    </xf>
    <xf numFmtId="0" fontId="0" fillId="18" borderId="0" xfId="0" applyFill="1" applyAlignment="1">
      <alignment wrapText="1"/>
    </xf>
    <xf numFmtId="0" fontId="9" fillId="0" borderId="0" xfId="0" applyFont="1"/>
    <xf numFmtId="0" fontId="0" fillId="18" borderId="0" xfId="0" applyFill="1" applyAlignment="1">
      <alignment horizontal="center" wrapText="1"/>
    </xf>
    <xf numFmtId="0" fontId="0" fillId="0" borderId="0" xfId="0" applyAlignment="1">
      <alignment vertical="top" wrapText="1"/>
    </xf>
    <xf numFmtId="0" fontId="24" fillId="0" borderId="0" xfId="0" applyFont="1"/>
    <xf numFmtId="0" fontId="10" fillId="0" borderId="0" xfId="0" applyFont="1"/>
    <xf numFmtId="0" fontId="0" fillId="17" borderId="0" xfId="0" applyFill="1"/>
    <xf numFmtId="0" fontId="0" fillId="18" borderId="0" xfId="0" applyFill="1"/>
    <xf numFmtId="0" fontId="0" fillId="18" borderId="0" xfId="0" applyFill="1" applyAlignment="1">
      <alignment horizontal="center"/>
    </xf>
    <xf numFmtId="164" fontId="0" fillId="0" borderId="0" xfId="0" applyNumberFormat="1" applyFill="1"/>
    <xf numFmtId="0" fontId="9" fillId="0" borderId="0" xfId="0" applyFont="1" applyAlignment="1">
      <alignment horizontal="right"/>
    </xf>
    <xf numFmtId="0" fontId="9" fillId="0" borderId="0" xfId="0" applyFont="1" applyAlignment="1">
      <alignment wrapText="1"/>
    </xf>
    <xf numFmtId="0" fontId="21" fillId="0" borderId="0" xfId="0" applyFont="1"/>
    <xf numFmtId="0" fontId="10" fillId="0" borderId="36" xfId="0" applyFont="1" applyBorder="1"/>
    <xf numFmtId="0" fontId="11" fillId="0" borderId="0" xfId="0" applyFont="1"/>
    <xf numFmtId="0" fontId="25" fillId="0" borderId="0" xfId="0" applyFont="1"/>
    <xf numFmtId="4" fontId="25" fillId="0" borderId="0" xfId="0" applyNumberFormat="1" applyFont="1" applyAlignment="1">
      <alignment horizontal="center"/>
    </xf>
    <xf numFmtId="0" fontId="8" fillId="0" borderId="0" xfId="0" applyFont="1"/>
    <xf numFmtId="0" fontId="26" fillId="20" borderId="20" xfId="0" applyFont="1" applyFill="1" applyBorder="1"/>
    <xf numFmtId="0" fontId="10" fillId="6" borderId="18" xfId="0" applyFont="1" applyFill="1" applyBorder="1" applyAlignment="1">
      <alignment horizontal="left"/>
    </xf>
    <xf numFmtId="0" fontId="10" fillId="6" borderId="19" xfId="0" applyFont="1" applyFill="1" applyBorder="1" applyAlignment="1">
      <alignment horizontal="center"/>
    </xf>
    <xf numFmtId="0" fontId="10" fillId="6" borderId="20" xfId="0" applyFont="1" applyFill="1" applyBorder="1" applyAlignment="1">
      <alignment horizontal="center"/>
    </xf>
    <xf numFmtId="0" fontId="25" fillId="0" borderId="17" xfId="0" applyFont="1" applyBorder="1"/>
    <xf numFmtId="0" fontId="26" fillId="21" borderId="53" xfId="0" applyFont="1" applyFill="1" applyBorder="1" applyAlignment="1">
      <alignment horizontal="center"/>
    </xf>
    <xf numFmtId="0" fontId="26" fillId="21" borderId="54" xfId="0" applyFont="1" applyFill="1" applyBorder="1" applyAlignment="1">
      <alignment horizontal="center"/>
    </xf>
    <xf numFmtId="0" fontId="25" fillId="0" borderId="0" xfId="0" applyFont="1" applyAlignment="1">
      <alignment horizontal="center"/>
    </xf>
    <xf numFmtId="0" fontId="26" fillId="0" borderId="0" xfId="0" applyFont="1" applyAlignment="1">
      <alignment horizontal="center"/>
    </xf>
    <xf numFmtId="0" fontId="26" fillId="0" borderId="55" xfId="0" applyFont="1" applyBorder="1"/>
    <xf numFmtId="0" fontId="26" fillId="0" borderId="55" xfId="0" applyFont="1" applyBorder="1" applyAlignment="1">
      <alignment horizontal="center" wrapText="1"/>
    </xf>
    <xf numFmtId="10" fontId="26" fillId="0" borderId="53" xfId="0" applyNumberFormat="1" applyFont="1" applyBorder="1" applyAlignment="1">
      <alignment horizontal="left"/>
    </xf>
    <xf numFmtId="0" fontId="26" fillId="0" borderId="54" xfId="0" applyFont="1" applyBorder="1" applyAlignment="1">
      <alignment horizontal="left"/>
    </xf>
    <xf numFmtId="0" fontId="26" fillId="0" borderId="56" xfId="0" applyFont="1" applyBorder="1" applyAlignment="1">
      <alignment horizontal="center"/>
    </xf>
    <xf numFmtId="0" fontId="25" fillId="0" borderId="23" xfId="0" applyFont="1" applyBorder="1" applyAlignment="1">
      <alignment horizontal="left"/>
    </xf>
    <xf numFmtId="0" fontId="27" fillId="0" borderId="17" xfId="0" applyFont="1" applyBorder="1" applyAlignment="1">
      <alignment horizontal="left"/>
    </xf>
    <xf numFmtId="0" fontId="26" fillId="0" borderId="57" xfId="0" applyFont="1" applyBorder="1" applyAlignment="1">
      <alignment horizontal="center"/>
    </xf>
    <xf numFmtId="0" fontId="26" fillId="0" borderId="22" xfId="0" applyFont="1" applyBorder="1"/>
    <xf numFmtId="0" fontId="26" fillId="0" borderId="24" xfId="0" applyFont="1" applyBorder="1"/>
    <xf numFmtId="0" fontId="25" fillId="0" borderId="58" xfId="0" applyFont="1" applyBorder="1" applyAlignment="1">
      <alignment horizontal="center"/>
    </xf>
    <xf numFmtId="0" fontId="25" fillId="0" borderId="26" xfId="0" applyFont="1" applyBorder="1" applyAlignment="1">
      <alignment horizontal="center"/>
    </xf>
    <xf numFmtId="0" fontId="25" fillId="0" borderId="22" xfId="0" applyFont="1" applyBorder="1" applyAlignment="1">
      <alignment horizontal="center"/>
    </xf>
    <xf numFmtId="3" fontId="25" fillId="0" borderId="23" xfId="0" applyNumberFormat="1" applyFont="1" applyBorder="1" applyAlignment="1">
      <alignment horizontal="center"/>
    </xf>
    <xf numFmtId="0" fontId="25" fillId="0" borderId="23" xfId="0" applyFont="1" applyBorder="1" applyAlignment="1">
      <alignment horizontal="center"/>
    </xf>
    <xf numFmtId="10" fontId="25" fillId="0" borderId="23" xfId="0" applyNumberFormat="1" applyFont="1" applyBorder="1" applyAlignment="1">
      <alignment horizontal="center"/>
    </xf>
    <xf numFmtId="10" fontId="25" fillId="0" borderId="24" xfId="0" applyNumberFormat="1" applyFont="1" applyBorder="1" applyAlignment="1">
      <alignment horizontal="center"/>
    </xf>
    <xf numFmtId="0" fontId="25" fillId="0" borderId="25" xfId="0" applyFont="1" applyBorder="1" applyAlignment="1">
      <alignment horizontal="left"/>
    </xf>
    <xf numFmtId="0" fontId="25" fillId="0" borderId="21" xfId="0" applyFont="1" applyBorder="1" applyAlignment="1">
      <alignment horizontal="center"/>
    </xf>
    <xf numFmtId="0" fontId="27" fillId="0" borderId="55" xfId="0" applyFont="1" applyBorder="1" applyAlignment="1">
      <alignment horizontal="left"/>
    </xf>
    <xf numFmtId="169" fontId="25" fillId="0" borderId="55" xfId="0" applyNumberFormat="1" applyFont="1" applyBorder="1" applyAlignment="1">
      <alignment horizontal="center"/>
    </xf>
    <xf numFmtId="169" fontId="25" fillId="0" borderId="43" xfId="0" applyNumberFormat="1" applyFont="1" applyBorder="1" applyAlignment="1">
      <alignment horizontal="center"/>
    </xf>
    <xf numFmtId="0" fontId="10" fillId="0" borderId="42" xfId="0" applyFont="1" applyBorder="1"/>
    <xf numFmtId="0" fontId="10" fillId="0" borderId="43" xfId="0" applyFont="1" applyBorder="1"/>
    <xf numFmtId="0" fontId="27" fillId="0" borderId="44" xfId="0" applyFont="1" applyBorder="1" applyAlignment="1">
      <alignment wrapText="1"/>
    </xf>
    <xf numFmtId="11" fontId="27" fillId="0" borderId="46" xfId="0" applyNumberFormat="1" applyFont="1" applyBorder="1" applyAlignment="1">
      <alignment wrapText="1"/>
    </xf>
    <xf numFmtId="0" fontId="27" fillId="0" borderId="46" xfId="0" applyFont="1" applyBorder="1" applyAlignment="1">
      <alignment wrapText="1"/>
    </xf>
    <xf numFmtId="0" fontId="27" fillId="0" borderId="42" xfId="0" applyFont="1" applyBorder="1" applyAlignment="1">
      <alignment wrapText="1"/>
    </xf>
    <xf numFmtId="0" fontId="26" fillId="0" borderId="55" xfId="0" applyFont="1" applyBorder="1" applyAlignment="1">
      <alignment horizontal="center"/>
    </xf>
    <xf numFmtId="0" fontId="27" fillId="0" borderId="41" xfId="0" applyFont="1" applyBorder="1" applyAlignment="1">
      <alignment wrapText="1"/>
    </xf>
    <xf numFmtId="0" fontId="25" fillId="0" borderId="55" xfId="0" applyFont="1" applyBorder="1" applyAlignment="1">
      <alignment horizontal="center"/>
    </xf>
    <xf numFmtId="0" fontId="26" fillId="0" borderId="25" xfId="0" applyFont="1" applyBorder="1"/>
    <xf numFmtId="0" fontId="26" fillId="0" borderId="26" xfId="0" applyFont="1" applyBorder="1"/>
    <xf numFmtId="11" fontId="25" fillId="0" borderId="58" xfId="0" applyNumberFormat="1" applyFont="1" applyBorder="1" applyAlignment="1">
      <alignment horizontal="center"/>
    </xf>
    <xf numFmtId="4" fontId="25" fillId="0" borderId="26" xfId="0" applyNumberFormat="1" applyFont="1" applyBorder="1" applyAlignment="1">
      <alignment horizontal="center"/>
    </xf>
    <xf numFmtId="0" fontId="25" fillId="0" borderId="25" xfId="0" applyFont="1" applyBorder="1" applyAlignment="1">
      <alignment horizontal="center"/>
    </xf>
    <xf numFmtId="3" fontId="25" fillId="0" borderId="21" xfId="0" applyNumberFormat="1" applyFont="1" applyBorder="1" applyAlignment="1">
      <alignment horizontal="center"/>
    </xf>
    <xf numFmtId="10" fontId="25" fillId="0" borderId="21" xfId="0" applyNumberFormat="1" applyFont="1" applyBorder="1" applyAlignment="1">
      <alignment horizontal="center"/>
    </xf>
    <xf numFmtId="10" fontId="25" fillId="0" borderId="26" xfId="0" applyNumberFormat="1" applyFont="1" applyBorder="1" applyAlignment="1">
      <alignment horizontal="center"/>
    </xf>
    <xf numFmtId="0" fontId="27" fillId="0" borderId="56" xfId="0" applyFont="1" applyBorder="1" applyAlignment="1">
      <alignment horizontal="left"/>
    </xf>
    <xf numFmtId="169" fontId="25" fillId="0" borderId="56" xfId="0" applyNumberFormat="1" applyFont="1" applyBorder="1" applyAlignment="1">
      <alignment horizontal="center"/>
    </xf>
    <xf numFmtId="169" fontId="25" fillId="0" borderId="57" xfId="0" applyNumberFormat="1" applyFont="1" applyBorder="1" applyAlignment="1">
      <alignment horizontal="center"/>
    </xf>
    <xf numFmtId="0" fontId="10" fillId="0" borderId="17" xfId="0" applyFont="1" applyBorder="1" applyAlignment="1">
      <alignment horizontal="center"/>
    </xf>
    <xf numFmtId="0" fontId="10" fillId="0" borderId="0" xfId="0" applyFont="1" applyAlignment="1">
      <alignment horizontal="center"/>
    </xf>
    <xf numFmtId="0" fontId="10" fillId="0" borderId="59" xfId="0" applyFont="1" applyBorder="1" applyAlignment="1">
      <alignment horizontal="center"/>
    </xf>
    <xf numFmtId="0" fontId="10" fillId="0" borderId="60" xfId="0" applyFont="1" applyBorder="1" applyAlignment="1">
      <alignment horizontal="center"/>
    </xf>
    <xf numFmtId="0" fontId="10" fillId="0" borderId="61" xfId="0" applyFont="1" applyBorder="1" applyAlignment="1">
      <alignment horizontal="center"/>
    </xf>
    <xf numFmtId="0" fontId="26" fillId="0" borderId="52" xfId="0" applyFont="1" applyBorder="1" applyAlignment="1">
      <alignment horizontal="center" vertical="center" wrapText="1"/>
    </xf>
    <xf numFmtId="0" fontId="26" fillId="0" borderId="47" xfId="0" applyFont="1" applyBorder="1" applyAlignment="1">
      <alignment horizontal="center" vertical="center" wrapText="1"/>
    </xf>
    <xf numFmtId="0" fontId="26" fillId="0" borderId="62" xfId="0" applyFont="1" applyBorder="1" applyAlignment="1">
      <alignment horizontal="center" vertical="center" wrapText="1"/>
    </xf>
    <xf numFmtId="0" fontId="26" fillId="0" borderId="63" xfId="0" applyFont="1" applyBorder="1" applyAlignment="1">
      <alignment horizontal="center"/>
    </xf>
    <xf numFmtId="0" fontId="25" fillId="0" borderId="63" xfId="0" applyFont="1" applyBorder="1" applyAlignment="1">
      <alignment horizontal="center"/>
    </xf>
    <xf numFmtId="0" fontId="25" fillId="20" borderId="19" xfId="0" applyFont="1" applyFill="1" applyBorder="1"/>
    <xf numFmtId="0" fontId="27" fillId="0" borderId="41" xfId="0" applyFont="1" applyBorder="1" applyAlignment="1">
      <alignment horizontal="center"/>
    </xf>
    <xf numFmtId="11" fontId="25" fillId="0" borderId="41" xfId="0" applyNumberFormat="1" applyFont="1" applyBorder="1" applyAlignment="1">
      <alignment horizontal="center"/>
    </xf>
    <xf numFmtId="11" fontId="25" fillId="0" borderId="42" xfId="0" applyNumberFormat="1" applyFont="1" applyBorder="1" applyAlignment="1">
      <alignment horizontal="center"/>
    </xf>
    <xf numFmtId="0" fontId="25" fillId="0" borderId="42" xfId="0" applyFont="1" applyBorder="1" applyAlignment="1">
      <alignment horizontal="center"/>
    </xf>
    <xf numFmtId="0" fontId="25" fillId="0" borderId="43" xfId="0" applyFont="1" applyBorder="1" applyAlignment="1">
      <alignment horizontal="center"/>
    </xf>
    <xf numFmtId="0" fontId="25" fillId="0" borderId="41" xfId="0" applyFont="1" applyBorder="1" applyAlignment="1">
      <alignment horizontal="center"/>
    </xf>
    <xf numFmtId="11" fontId="25" fillId="0" borderId="44" xfId="0" applyNumberFormat="1" applyFont="1" applyBorder="1" applyAlignment="1">
      <alignment horizontal="center" vertical="center"/>
    </xf>
    <xf numFmtId="11" fontId="25" fillId="0" borderId="46" xfId="0" applyNumberFormat="1" applyFont="1" applyBorder="1" applyAlignment="1">
      <alignment horizontal="center" vertical="center"/>
    </xf>
    <xf numFmtId="11" fontId="25" fillId="0" borderId="43" xfId="0" applyNumberFormat="1" applyFont="1" applyBorder="1" applyAlignment="1">
      <alignment horizontal="center" vertical="center"/>
    </xf>
    <xf numFmtId="11" fontId="25" fillId="0" borderId="17" xfId="0" applyNumberFormat="1" applyFont="1" applyBorder="1" applyAlignment="1">
      <alignment horizontal="center" vertical="center"/>
    </xf>
    <xf numFmtId="11" fontId="25" fillId="0" borderId="15" xfId="0" applyNumberFormat="1" applyFont="1" applyBorder="1" applyAlignment="1">
      <alignment horizontal="center" vertical="center"/>
    </xf>
    <xf numFmtId="11" fontId="25" fillId="0" borderId="57" xfId="0" applyNumberFormat="1" applyFont="1" applyBorder="1" applyAlignment="1">
      <alignment horizontal="center" vertical="center"/>
    </xf>
    <xf numFmtId="11" fontId="8" fillId="0" borderId="55" xfId="0" applyNumberFormat="1" applyFont="1" applyBorder="1" applyAlignment="1">
      <alignment horizontal="center" vertical="center"/>
    </xf>
    <xf numFmtId="0" fontId="25" fillId="0" borderId="33" xfId="0" applyFont="1" applyBorder="1"/>
    <xf numFmtId="0" fontId="25" fillId="0" borderId="16" xfId="0" applyFont="1" applyBorder="1" applyAlignment="1">
      <alignment horizontal="center" vertical="center" wrapText="1"/>
    </xf>
    <xf numFmtId="0" fontId="25" fillId="0" borderId="11" xfId="0" applyFont="1" applyBorder="1" applyAlignment="1">
      <alignment horizontal="center" vertical="center" wrapText="1"/>
    </xf>
    <xf numFmtId="0" fontId="27" fillId="0" borderId="63" xfId="0" applyFont="1" applyBorder="1" applyAlignment="1">
      <alignment horizontal="left"/>
    </xf>
    <xf numFmtId="169" fontId="25" fillId="0" borderId="63" xfId="0" applyNumberFormat="1" applyFont="1" applyBorder="1" applyAlignment="1">
      <alignment horizontal="center"/>
    </xf>
    <xf numFmtId="169" fontId="25" fillId="0" borderId="61" xfId="0" applyNumberFormat="1" applyFont="1" applyBorder="1" applyAlignment="1">
      <alignment horizontal="center"/>
    </xf>
    <xf numFmtId="0" fontId="27" fillId="0" borderId="17" xfId="0" applyFont="1" applyBorder="1" applyAlignment="1">
      <alignment horizontal="center"/>
    </xf>
    <xf numFmtId="11" fontId="25" fillId="0" borderId="17" xfId="0" applyNumberFormat="1" applyFont="1" applyBorder="1" applyAlignment="1">
      <alignment horizontal="center"/>
    </xf>
    <xf numFmtId="11" fontId="25" fillId="0" borderId="0" xfId="0" applyNumberFormat="1" applyFont="1" applyAlignment="1">
      <alignment horizontal="center"/>
    </xf>
    <xf numFmtId="0" fontId="25" fillId="0" borderId="57" xfId="0" applyFont="1" applyBorder="1" applyAlignment="1">
      <alignment horizontal="center"/>
    </xf>
    <xf numFmtId="0" fontId="25" fillId="0" borderId="17" xfId="0" applyFont="1" applyBorder="1" applyAlignment="1">
      <alignment horizontal="center"/>
    </xf>
    <xf numFmtId="11" fontId="25" fillId="0" borderId="53" xfId="0" applyNumberFormat="1" applyFont="1" applyBorder="1" applyAlignment="1">
      <alignment horizontal="center" vertical="center"/>
    </xf>
    <xf numFmtId="0" fontId="25" fillId="0" borderId="56" xfId="0" applyFont="1" applyBorder="1" applyAlignment="1">
      <alignment horizontal="center"/>
    </xf>
    <xf numFmtId="11" fontId="8" fillId="0" borderId="56" xfId="0" applyNumberFormat="1" applyFont="1" applyBorder="1" applyAlignment="1">
      <alignment horizontal="center" vertical="center"/>
    </xf>
    <xf numFmtId="0" fontId="25" fillId="0" borderId="25" xfId="0" applyFont="1" applyBorder="1"/>
    <xf numFmtId="0" fontId="25" fillId="0" borderId="38" xfId="0" applyFont="1" applyBorder="1" applyAlignment="1">
      <alignment horizontal="center"/>
    </xf>
    <xf numFmtId="0" fontId="25" fillId="0" borderId="27" xfId="0" applyFont="1" applyBorder="1" applyAlignment="1">
      <alignment horizontal="left"/>
    </xf>
    <xf numFmtId="0" fontId="25" fillId="0" borderId="28" xfId="0" applyFont="1" applyBorder="1" applyAlignment="1">
      <alignment horizontal="center"/>
    </xf>
    <xf numFmtId="0" fontId="27" fillId="0" borderId="59" xfId="0" applyFont="1" applyBorder="1" applyAlignment="1">
      <alignment horizontal="center"/>
    </xf>
    <xf numFmtId="11" fontId="8" fillId="0" borderId="63" xfId="0" applyNumberFormat="1" applyFont="1" applyBorder="1" applyAlignment="1">
      <alignment horizontal="center" vertical="center"/>
    </xf>
    <xf numFmtId="0" fontId="25" fillId="0" borderId="17" xfId="0" applyFont="1" applyBorder="1" applyAlignment="1">
      <alignment horizontal="left"/>
    </xf>
    <xf numFmtId="0" fontId="25" fillId="0" borderId="0" xfId="0" applyFont="1" applyAlignment="1">
      <alignment horizontal="left"/>
    </xf>
    <xf numFmtId="0" fontId="25" fillId="0" borderId="57" xfId="0" applyFont="1" applyBorder="1"/>
    <xf numFmtId="11" fontId="25" fillId="0" borderId="42" xfId="0" applyNumberFormat="1" applyFont="1" applyBorder="1" applyAlignment="1">
      <alignment horizontal="center" vertical="center"/>
    </xf>
    <xf numFmtId="11" fontId="25" fillId="0" borderId="41" xfId="0" applyNumberFormat="1" applyFont="1" applyBorder="1" applyAlignment="1">
      <alignment horizontal="center" vertical="center"/>
    </xf>
    <xf numFmtId="0" fontId="25" fillId="0" borderId="59" xfId="0" applyFont="1" applyBorder="1" applyAlignment="1">
      <alignment horizontal="left"/>
    </xf>
    <xf numFmtId="0" fontId="25" fillId="0" borderId="60" xfId="0" applyFont="1" applyBorder="1" applyAlignment="1">
      <alignment horizontal="left"/>
    </xf>
    <xf numFmtId="0" fontId="25" fillId="0" borderId="60" xfId="0" applyFont="1" applyBorder="1"/>
    <xf numFmtId="0" fontId="25" fillId="21" borderId="28" xfId="0" applyFont="1" applyFill="1" applyBorder="1" applyAlignment="1">
      <alignment horizontal="center"/>
    </xf>
    <xf numFmtId="0" fontId="25" fillId="21" borderId="29" xfId="0" applyFont="1" applyFill="1" applyBorder="1" applyAlignment="1">
      <alignment horizontal="center"/>
    </xf>
    <xf numFmtId="0" fontId="25" fillId="0" borderId="64" xfId="0" applyFont="1" applyBorder="1"/>
    <xf numFmtId="0" fontId="25" fillId="22" borderId="58" xfId="0" applyFont="1" applyFill="1" applyBorder="1" applyAlignment="1">
      <alignment horizontal="center"/>
    </xf>
    <xf numFmtId="0" fontId="25" fillId="22" borderId="21" xfId="0" applyFont="1" applyFill="1" applyBorder="1" applyAlignment="1">
      <alignment horizontal="center"/>
    </xf>
    <xf numFmtId="11" fontId="25" fillId="0" borderId="0" xfId="0" applyNumberFormat="1" applyFont="1" applyAlignment="1">
      <alignment horizontal="center" vertical="center"/>
    </xf>
    <xf numFmtId="0" fontId="27" fillId="0" borderId="59" xfId="0" applyFont="1" applyBorder="1" applyAlignment="1">
      <alignment horizontal="left"/>
    </xf>
    <xf numFmtId="0" fontId="25" fillId="0" borderId="18" xfId="0" applyFont="1" applyBorder="1" applyAlignment="1">
      <alignment horizontal="center"/>
    </xf>
    <xf numFmtId="0" fontId="25" fillId="0" borderId="59" xfId="0" applyFont="1" applyBorder="1" applyAlignment="1">
      <alignment horizontal="center"/>
    </xf>
    <xf numFmtId="0" fontId="25" fillId="0" borderId="60" xfId="0" applyFont="1" applyBorder="1" applyAlignment="1">
      <alignment horizontal="center"/>
    </xf>
    <xf numFmtId="0" fontId="25" fillId="0" borderId="61" xfId="0" applyFont="1" applyBorder="1" applyAlignment="1">
      <alignment horizontal="center"/>
    </xf>
    <xf numFmtId="0" fontId="25" fillId="0" borderId="40" xfId="0" applyFont="1" applyBorder="1"/>
    <xf numFmtId="11" fontId="25" fillId="0" borderId="18" xfId="0" applyNumberFormat="1" applyFont="1" applyBorder="1" applyAlignment="1">
      <alignment horizontal="center"/>
    </xf>
    <xf numFmtId="11" fontId="25" fillId="0" borderId="40" xfId="0" applyNumberFormat="1" applyFont="1" applyBorder="1" applyAlignment="1">
      <alignment horizontal="center"/>
    </xf>
    <xf numFmtId="0" fontId="25" fillId="0" borderId="27" xfId="0" applyFont="1" applyBorder="1" applyAlignment="1">
      <alignment horizontal="center"/>
    </xf>
    <xf numFmtId="3" fontId="25" fillId="0" borderId="28" xfId="0" applyNumberFormat="1" applyFont="1" applyBorder="1" applyAlignment="1">
      <alignment horizontal="center"/>
    </xf>
    <xf numFmtId="10" fontId="25" fillId="0" borderId="28" xfId="0" applyNumberFormat="1" applyFont="1" applyBorder="1" applyAlignment="1">
      <alignment horizontal="center"/>
    </xf>
    <xf numFmtId="10" fontId="25" fillId="0" borderId="29" xfId="0" applyNumberFormat="1" applyFont="1" applyBorder="1" applyAlignment="1">
      <alignment horizontal="center"/>
    </xf>
    <xf numFmtId="0" fontId="25" fillId="0" borderId="34" xfId="0" applyFont="1" applyBorder="1" applyAlignment="1">
      <alignment horizontal="center"/>
    </xf>
    <xf numFmtId="0" fontId="25" fillId="0" borderId="36" xfId="0" applyFont="1" applyBorder="1" applyAlignment="1">
      <alignment horizontal="center"/>
    </xf>
    <xf numFmtId="0" fontId="25" fillId="23" borderId="63" xfId="0" applyFont="1" applyFill="1" applyBorder="1"/>
    <xf numFmtId="10" fontId="25" fillId="23" borderId="52" xfId="0" applyNumberFormat="1" applyFont="1" applyFill="1" applyBorder="1" applyAlignment="1">
      <alignment horizontal="center"/>
    </xf>
    <xf numFmtId="10" fontId="25" fillId="23" borderId="48" xfId="0" applyNumberFormat="1" applyFont="1" applyFill="1" applyBorder="1" applyAlignment="1">
      <alignment horizontal="center"/>
    </xf>
    <xf numFmtId="0" fontId="25" fillId="0" borderId="65" xfId="0" applyFont="1" applyBorder="1" applyAlignment="1">
      <alignment horizontal="left"/>
    </xf>
    <xf numFmtId="0" fontId="25" fillId="0" borderId="24" xfId="0" applyFont="1" applyBorder="1" applyAlignment="1">
      <alignment horizontal="center"/>
    </xf>
    <xf numFmtId="0" fontId="26" fillId="0" borderId="34" xfId="0" applyFont="1" applyBorder="1"/>
    <xf numFmtId="0" fontId="25" fillId="0" borderId="64" xfId="0" applyFont="1" applyBorder="1" applyAlignment="1">
      <alignment horizontal="left"/>
    </xf>
    <xf numFmtId="0" fontId="25" fillId="0" borderId="29" xfId="0" applyFont="1" applyBorder="1" applyAlignment="1">
      <alignment horizontal="center"/>
    </xf>
    <xf numFmtId="0" fontId="26" fillId="0" borderId="65" xfId="0" applyFont="1" applyBorder="1" applyAlignment="1">
      <alignment horizontal="left"/>
    </xf>
    <xf numFmtId="0" fontId="25" fillId="0" borderId="66" xfId="0" applyFont="1" applyBorder="1" applyAlignment="1">
      <alignment horizontal="center"/>
    </xf>
    <xf numFmtId="0" fontId="10" fillId="6" borderId="18" xfId="0" applyFont="1" applyFill="1" applyBorder="1"/>
    <xf numFmtId="0" fontId="10" fillId="6" borderId="19" xfId="0" applyFont="1" applyFill="1" applyBorder="1"/>
    <xf numFmtId="0" fontId="10" fillId="6" borderId="20" xfId="0" applyFont="1" applyFill="1" applyBorder="1"/>
    <xf numFmtId="0" fontId="26" fillId="20" borderId="37" xfId="0" applyFont="1" applyFill="1" applyBorder="1"/>
    <xf numFmtId="0" fontId="26" fillId="6" borderId="34" xfId="0" applyFont="1" applyFill="1" applyBorder="1" applyAlignment="1">
      <alignment horizontal="center"/>
    </xf>
    <xf numFmtId="0" fontId="26" fillId="6" borderId="36" xfId="0" applyFont="1" applyFill="1" applyBorder="1" applyAlignment="1">
      <alignment horizontal="center"/>
    </xf>
    <xf numFmtId="0" fontId="26" fillId="0" borderId="67" xfId="0" applyFont="1" applyBorder="1"/>
    <xf numFmtId="10" fontId="25" fillId="0" borderId="58" xfId="0" applyNumberFormat="1" applyFont="1" applyBorder="1" applyAlignment="1">
      <alignment horizontal="center"/>
    </xf>
    <xf numFmtId="0" fontId="25" fillId="24" borderId="26" xfId="0" applyFont="1" applyFill="1" applyBorder="1"/>
    <xf numFmtId="0" fontId="10" fillId="0" borderId="41" xfId="0" applyFont="1" applyBorder="1"/>
    <xf numFmtId="0" fontId="27" fillId="0" borderId="41" xfId="0" applyFont="1" applyBorder="1" applyAlignment="1">
      <alignment horizontal="center" vertical="center" wrapText="1"/>
    </xf>
    <xf numFmtId="11" fontId="27" fillId="0" borderId="42" xfId="0" applyNumberFormat="1" applyFont="1" applyBorder="1" applyAlignment="1">
      <alignment horizontal="center" vertical="center" wrapText="1"/>
    </xf>
    <xf numFmtId="0" fontId="27" fillId="0" borderId="42" xfId="0" applyFont="1" applyBorder="1" applyAlignment="1">
      <alignment horizontal="center" vertical="center" wrapText="1"/>
    </xf>
    <xf numFmtId="0" fontId="27" fillId="0" borderId="43" xfId="0" applyFont="1" applyBorder="1" applyAlignment="1">
      <alignment horizontal="center"/>
    </xf>
    <xf numFmtId="0" fontId="26" fillId="0" borderId="65" xfId="0" applyFont="1" applyBorder="1"/>
    <xf numFmtId="4" fontId="25" fillId="0" borderId="68" xfId="0" applyNumberFormat="1" applyFont="1" applyBorder="1" applyAlignment="1">
      <alignment horizontal="center"/>
    </xf>
    <xf numFmtId="0" fontId="25" fillId="0" borderId="21" xfId="0" applyFont="1" applyBorder="1"/>
    <xf numFmtId="4" fontId="25" fillId="0" borderId="16" xfId="0" applyNumberFormat="1" applyFont="1" applyBorder="1" applyAlignment="1">
      <alignment horizontal="center"/>
    </xf>
    <xf numFmtId="0" fontId="25" fillId="21" borderId="18" xfId="0" applyFont="1" applyFill="1" applyBorder="1" applyAlignment="1">
      <alignment horizontal="left"/>
    </xf>
    <xf numFmtId="0" fontId="25" fillId="21" borderId="19" xfId="0" applyFont="1" applyFill="1" applyBorder="1" applyAlignment="1">
      <alignment horizontal="center"/>
    </xf>
    <xf numFmtId="0" fontId="25" fillId="21" borderId="20" xfId="0" applyFont="1" applyFill="1" applyBorder="1" applyAlignment="1">
      <alignment horizontal="center"/>
    </xf>
    <xf numFmtId="4" fontId="25" fillId="0" borderId="58" xfId="0" applyNumberFormat="1" applyFont="1" applyBorder="1" applyAlignment="1">
      <alignment horizontal="center"/>
    </xf>
    <xf numFmtId="0" fontId="10" fillId="0" borderId="57" xfId="0" applyFont="1" applyBorder="1" applyAlignment="1">
      <alignment horizontal="center"/>
    </xf>
    <xf numFmtId="11" fontId="25" fillId="0" borderId="26" xfId="0" applyNumberFormat="1" applyFont="1" applyBorder="1" applyAlignment="1">
      <alignment horizontal="center"/>
    </xf>
    <xf numFmtId="4" fontId="25" fillId="0" borderId="69" xfId="0" applyNumberFormat="1" applyFont="1" applyBorder="1" applyAlignment="1">
      <alignment horizontal="center"/>
    </xf>
    <xf numFmtId="0" fontId="17" fillId="20" borderId="43" xfId="17" applyFill="1" applyBorder="1" applyAlignment="1">
      <alignment horizontal="center"/>
    </xf>
    <xf numFmtId="0" fontId="17" fillId="20" borderId="42" xfId="17" applyFill="1" applyBorder="1" applyAlignment="1">
      <alignment horizontal="center"/>
    </xf>
    <xf numFmtId="0" fontId="28" fillId="20" borderId="41" xfId="17" applyFont="1" applyFill="1" applyBorder="1" applyAlignment="1">
      <alignment horizontal="left"/>
    </xf>
    <xf numFmtId="0" fontId="28" fillId="20" borderId="42" xfId="17" applyFont="1" applyFill="1" applyBorder="1" applyAlignment="1">
      <alignment horizontal="left"/>
    </xf>
    <xf numFmtId="11" fontId="25" fillId="20" borderId="42" xfId="0" applyNumberFormat="1" applyFont="1" applyFill="1" applyBorder="1" applyAlignment="1">
      <alignment horizontal="center"/>
    </xf>
    <xf numFmtId="0" fontId="25" fillId="20" borderId="42" xfId="0" applyFont="1" applyFill="1" applyBorder="1" applyAlignment="1">
      <alignment horizontal="center"/>
    </xf>
    <xf numFmtId="0" fontId="25" fillId="20" borderId="43" xfId="0" applyFont="1" applyFill="1" applyBorder="1" applyAlignment="1">
      <alignment horizontal="center"/>
    </xf>
    <xf numFmtId="0" fontId="26" fillId="0" borderId="18" xfId="0" applyFont="1" applyBorder="1"/>
    <xf numFmtId="4" fontId="25" fillId="0" borderId="40" xfId="0" applyNumberFormat="1" applyFont="1" applyBorder="1" applyAlignment="1">
      <alignment horizontal="center"/>
    </xf>
    <xf numFmtId="0" fontId="26" fillId="0" borderId="70" xfId="0" applyFont="1" applyBorder="1" applyAlignment="1">
      <alignment horizontal="left"/>
    </xf>
    <xf numFmtId="4" fontId="25" fillId="0" borderId="8" xfId="0" applyNumberFormat="1" applyFont="1" applyBorder="1" applyAlignment="1">
      <alignment horizontal="center"/>
    </xf>
    <xf numFmtId="4" fontId="29" fillId="0" borderId="31" xfId="17" applyNumberFormat="1" applyFont="1" applyBorder="1" applyAlignment="1">
      <alignment horizontal="center"/>
    </xf>
    <xf numFmtId="0" fontId="17" fillId="20" borderId="57" xfId="17" applyFill="1" applyBorder="1" applyAlignment="1">
      <alignment horizontal="center"/>
    </xf>
    <xf numFmtId="0" fontId="17" fillId="20" borderId="0" xfId="17" applyFill="1" applyAlignment="1">
      <alignment horizontal="center"/>
    </xf>
    <xf numFmtId="0" fontId="28" fillId="20" borderId="17" xfId="17" applyFont="1" applyFill="1" applyBorder="1" applyAlignment="1">
      <alignment horizontal="left"/>
    </xf>
    <xf numFmtId="0" fontId="28" fillId="20" borderId="0" xfId="17" applyFont="1" applyFill="1" applyAlignment="1">
      <alignment horizontal="left"/>
    </xf>
    <xf numFmtId="11" fontId="25" fillId="20" borderId="0" xfId="0" applyNumberFormat="1" applyFont="1" applyFill="1" applyAlignment="1">
      <alignment horizontal="center"/>
    </xf>
    <xf numFmtId="0" fontId="25" fillId="20" borderId="0" xfId="0" applyFont="1" applyFill="1"/>
    <xf numFmtId="0" fontId="25" fillId="20" borderId="57" xfId="0" applyFont="1" applyFill="1" applyBorder="1"/>
    <xf numFmtId="0" fontId="26" fillId="0" borderId="30" xfId="0" applyFont="1" applyBorder="1"/>
    <xf numFmtId="0" fontId="26" fillId="0" borderId="31" xfId="0" applyFont="1" applyBorder="1"/>
    <xf numFmtId="0" fontId="25" fillId="0" borderId="8" xfId="0" applyFont="1" applyBorder="1" applyAlignment="1">
      <alignment horizontal="center"/>
    </xf>
    <xf numFmtId="0" fontId="25" fillId="0" borderId="31" xfId="0" applyFont="1" applyBorder="1" applyAlignment="1">
      <alignment horizontal="center"/>
    </xf>
    <xf numFmtId="0" fontId="26" fillId="0" borderId="64" xfId="0" applyFont="1" applyBorder="1"/>
    <xf numFmtId="4" fontId="25" fillId="0" borderId="71" xfId="0" applyNumberFormat="1" applyFont="1" applyBorder="1" applyAlignment="1">
      <alignment horizontal="center"/>
    </xf>
    <xf numFmtId="4" fontId="25" fillId="0" borderId="21" xfId="0" applyNumberFormat="1" applyFont="1" applyBorder="1" applyAlignment="1">
      <alignment horizontal="center"/>
    </xf>
    <xf numFmtId="4" fontId="25" fillId="0" borderId="72" xfId="0" applyNumberFormat="1" applyFont="1" applyBorder="1" applyAlignment="1">
      <alignment horizontal="center"/>
    </xf>
    <xf numFmtId="4" fontId="25" fillId="0" borderId="29" xfId="0" applyNumberFormat="1" applyFont="1" applyBorder="1" applyAlignment="1">
      <alignment horizontal="center"/>
    </xf>
    <xf numFmtId="0" fontId="25" fillId="20" borderId="0" xfId="0" applyFont="1" applyFill="1" applyAlignment="1">
      <alignment horizontal="center"/>
    </xf>
    <xf numFmtId="0" fontId="25" fillId="20" borderId="57" xfId="0" applyFont="1" applyFill="1" applyBorder="1" applyAlignment="1">
      <alignment horizontal="center"/>
    </xf>
    <xf numFmtId="0" fontId="26" fillId="0" borderId="27" xfId="0" applyFont="1" applyBorder="1" applyAlignment="1">
      <alignment horizontal="left"/>
    </xf>
    <xf numFmtId="0" fontId="26" fillId="0" borderId="28" xfId="0" applyFont="1" applyBorder="1" applyAlignment="1">
      <alignment horizontal="left"/>
    </xf>
    <xf numFmtId="0" fontId="17" fillId="0" borderId="0" xfId="17"/>
    <xf numFmtId="0" fontId="17" fillId="0" borderId="0" xfId="17" applyAlignment="1">
      <alignment horizontal="center"/>
    </xf>
    <xf numFmtId="0" fontId="25" fillId="0" borderId="38" xfId="0" applyFont="1" applyBorder="1"/>
    <xf numFmtId="0" fontId="26" fillId="0" borderId="21" xfId="0" applyFont="1" applyBorder="1" applyAlignment="1">
      <alignment horizontal="center"/>
    </xf>
    <xf numFmtId="0" fontId="26" fillId="0" borderId="26" xfId="0" applyFont="1" applyBorder="1" applyAlignment="1">
      <alignment horizontal="center"/>
    </xf>
    <xf numFmtId="0" fontId="17" fillId="20" borderId="61" xfId="17" applyFill="1" applyBorder="1" applyAlignment="1">
      <alignment horizontal="center"/>
    </xf>
    <xf numFmtId="0" fontId="17" fillId="20" borderId="60" xfId="17" applyFill="1" applyBorder="1" applyAlignment="1">
      <alignment horizontal="center"/>
    </xf>
    <xf numFmtId="11" fontId="29" fillId="20" borderId="60" xfId="17" applyNumberFormat="1" applyFont="1" applyFill="1" applyBorder="1" applyAlignment="1">
      <alignment horizontal="center"/>
    </xf>
    <xf numFmtId="0" fontId="29" fillId="20" borderId="60" xfId="17" applyFont="1" applyFill="1" applyBorder="1" applyAlignment="1">
      <alignment horizontal="center"/>
    </xf>
    <xf numFmtId="11" fontId="29" fillId="20" borderId="61" xfId="17" applyNumberFormat="1" applyFont="1" applyFill="1" applyBorder="1" applyAlignment="1">
      <alignment horizontal="center"/>
    </xf>
    <xf numFmtId="11" fontId="16" fillId="0" borderId="0" xfId="17" applyNumberFormat="1" applyFont="1" applyAlignment="1">
      <alignment horizontal="center"/>
    </xf>
    <xf numFmtId="0" fontId="26" fillId="0" borderId="21" xfId="0" applyFont="1" applyBorder="1"/>
    <xf numFmtId="4" fontId="25" fillId="0" borderId="0" xfId="0" applyNumberFormat="1" applyFont="1"/>
    <xf numFmtId="0" fontId="10" fillId="6" borderId="22" xfId="0" applyFont="1" applyFill="1" applyBorder="1" applyAlignment="1">
      <alignment horizontal="center"/>
    </xf>
    <xf numFmtId="0" fontId="31" fillId="6" borderId="23" xfId="0" applyFont="1" applyFill="1" applyBorder="1" applyAlignment="1">
      <alignment horizontal="center"/>
    </xf>
    <xf numFmtId="0" fontId="31" fillId="6" borderId="24" xfId="0" applyFont="1" applyFill="1" applyBorder="1" applyAlignment="1">
      <alignment horizontal="center"/>
    </xf>
    <xf numFmtId="169" fontId="25" fillId="0" borderId="21" xfId="0" applyNumberFormat="1" applyFont="1" applyBorder="1" applyAlignment="1">
      <alignment horizontal="center"/>
    </xf>
    <xf numFmtId="169" fontId="25" fillId="0" borderId="26" xfId="0" applyNumberFormat="1" applyFont="1" applyBorder="1" applyAlignment="1">
      <alignment horizontal="center"/>
    </xf>
    <xf numFmtId="0" fontId="25" fillId="0" borderId="34" xfId="0" applyFont="1" applyBorder="1"/>
    <xf numFmtId="4" fontId="25" fillId="0" borderId="36" xfId="0" applyNumberFormat="1" applyFont="1" applyBorder="1" applyAlignment="1">
      <alignment horizontal="center"/>
    </xf>
    <xf numFmtId="0" fontId="27" fillId="21" borderId="22" xfId="0" applyFont="1" applyFill="1" applyBorder="1" applyAlignment="1">
      <alignment horizontal="center"/>
    </xf>
    <xf numFmtId="0" fontId="27" fillId="21" borderId="65" xfId="0" applyFont="1" applyFill="1" applyBorder="1" applyAlignment="1">
      <alignment horizontal="center"/>
    </xf>
    <xf numFmtId="0" fontId="26" fillId="27" borderId="21" xfId="0" applyFont="1" applyFill="1" applyBorder="1"/>
    <xf numFmtId="4" fontId="25" fillId="27" borderId="21" xfId="0" applyNumberFormat="1" applyFont="1" applyFill="1" applyBorder="1" applyAlignment="1">
      <alignment horizontal="center"/>
    </xf>
    <xf numFmtId="0" fontId="31" fillId="0" borderId="27" xfId="0" applyFont="1" applyBorder="1"/>
    <xf numFmtId="169" fontId="31" fillId="0" borderId="28" xfId="0" applyNumberFormat="1" applyFont="1" applyBorder="1" applyAlignment="1">
      <alignment horizontal="center"/>
    </xf>
    <xf numFmtId="169" fontId="31" fillId="0" borderId="29" xfId="0" applyNumberFormat="1" applyFont="1" applyBorder="1" applyAlignment="1">
      <alignment horizontal="center"/>
    </xf>
    <xf numFmtId="11" fontId="25" fillId="0" borderId="27" xfId="0" applyNumberFormat="1" applyFont="1" applyBorder="1" applyAlignment="1">
      <alignment horizontal="center"/>
    </xf>
    <xf numFmtId="11" fontId="25" fillId="0" borderId="64" xfId="0" applyNumberFormat="1" applyFont="1" applyBorder="1" applyAlignment="1">
      <alignment horizontal="center"/>
    </xf>
    <xf numFmtId="0" fontId="26" fillId="0" borderId="21" xfId="0" applyFont="1" applyBorder="1" applyAlignment="1">
      <alignment horizontal="left"/>
    </xf>
    <xf numFmtId="169" fontId="31" fillId="6" borderId="23" xfId="0" applyNumberFormat="1" applyFont="1" applyFill="1" applyBorder="1" applyAlignment="1">
      <alignment horizontal="center"/>
    </xf>
    <xf numFmtId="169" fontId="31" fillId="6" borderId="24" xfId="0" applyNumberFormat="1" applyFont="1" applyFill="1" applyBorder="1" applyAlignment="1">
      <alignment horizontal="center"/>
    </xf>
    <xf numFmtId="0" fontId="31" fillId="0" borderId="30" xfId="0" applyFont="1" applyBorder="1"/>
    <xf numFmtId="169" fontId="31" fillId="0" borderId="14" xfId="0" applyNumberFormat="1" applyFont="1" applyBorder="1" applyAlignment="1">
      <alignment horizontal="center"/>
    </xf>
    <xf numFmtId="169" fontId="31" fillId="0" borderId="31" xfId="0" applyNumberFormat="1" applyFont="1" applyBorder="1" applyAlignment="1">
      <alignment horizontal="center"/>
    </xf>
    <xf numFmtId="0" fontId="32" fillId="28" borderId="34" xfId="0" applyFont="1" applyFill="1" applyBorder="1" applyAlignment="1">
      <alignment horizontal="center" vertical="center"/>
    </xf>
    <xf numFmtId="169" fontId="32" fillId="28" borderId="35" xfId="0" applyNumberFormat="1" applyFont="1" applyFill="1" applyBorder="1" applyAlignment="1">
      <alignment horizontal="center" vertical="center"/>
    </xf>
    <xf numFmtId="169" fontId="32" fillId="28" borderId="36" xfId="0" applyNumberFormat="1" applyFont="1" applyFill="1" applyBorder="1" applyAlignment="1">
      <alignment horizontal="center" vertical="center"/>
    </xf>
    <xf numFmtId="0" fontId="26" fillId="27" borderId="21" xfId="0" applyFont="1" applyFill="1" applyBorder="1" applyAlignment="1">
      <alignment horizontal="center"/>
    </xf>
    <xf numFmtId="0" fontId="25" fillId="27" borderId="21" xfId="0" applyFont="1" applyFill="1" applyBorder="1"/>
    <xf numFmtId="10" fontId="25" fillId="27" borderId="21" xfId="0" applyNumberFormat="1" applyFont="1" applyFill="1" applyBorder="1" applyAlignment="1">
      <alignment horizontal="center"/>
    </xf>
    <xf numFmtId="10" fontId="25" fillId="0" borderId="0" xfId="0" applyNumberFormat="1" applyFont="1" applyAlignment="1">
      <alignment horizontal="center"/>
    </xf>
    <xf numFmtId="0" fontId="33" fillId="29" borderId="18" xfId="0" applyFont="1" applyFill="1" applyBorder="1" applyAlignment="1">
      <alignment horizontal="left"/>
    </xf>
    <xf numFmtId="0" fontId="33" fillId="29" borderId="19" xfId="0" applyFont="1" applyFill="1" applyBorder="1" applyAlignment="1">
      <alignment horizontal="center"/>
    </xf>
    <xf numFmtId="0" fontId="33" fillId="29" borderId="20" xfId="0" applyFont="1" applyFill="1" applyBorder="1" applyAlignment="1">
      <alignment horizontal="center"/>
    </xf>
    <xf numFmtId="0" fontId="26" fillId="0" borderId="34" xfId="0" applyFont="1" applyBorder="1" applyAlignment="1">
      <alignment horizontal="center"/>
    </xf>
    <xf numFmtId="0" fontId="26" fillId="0" borderId="35" xfId="0" applyFont="1" applyBorder="1" applyAlignment="1">
      <alignment horizontal="center"/>
    </xf>
    <xf numFmtId="0" fontId="26" fillId="0" borderId="36" xfId="0" applyFont="1" applyBorder="1" applyAlignment="1">
      <alignment horizontal="center"/>
    </xf>
    <xf numFmtId="0" fontId="34" fillId="24" borderId="41" xfId="10" applyFont="1" applyFill="1" applyBorder="1" applyAlignment="1">
      <alignment horizontal="left"/>
    </xf>
    <xf numFmtId="0" fontId="31" fillId="24" borderId="55" xfId="0" applyFont="1" applyFill="1" applyBorder="1" applyAlignment="1">
      <alignment horizontal="center"/>
    </xf>
    <xf numFmtId="0" fontId="31" fillId="24" borderId="43" xfId="0" applyFont="1" applyFill="1" applyBorder="1" applyAlignment="1">
      <alignment horizontal="center"/>
    </xf>
    <xf numFmtId="0" fontId="25" fillId="0" borderId="33" xfId="0" applyFont="1" applyBorder="1" applyAlignment="1">
      <alignment horizontal="center"/>
    </xf>
    <xf numFmtId="0" fontId="25" fillId="0" borderId="16" xfId="0" applyFont="1" applyBorder="1" applyAlignment="1">
      <alignment horizontal="center"/>
    </xf>
    <xf numFmtId="9" fontId="25" fillId="0" borderId="16" xfId="0" applyNumberFormat="1" applyFont="1" applyBorder="1" applyAlignment="1">
      <alignment horizontal="left"/>
    </xf>
    <xf numFmtId="9" fontId="25" fillId="0" borderId="32" xfId="0" applyNumberFormat="1" applyFont="1" applyBorder="1" applyAlignment="1">
      <alignment horizontal="left"/>
    </xf>
    <xf numFmtId="0" fontId="25" fillId="0" borderId="76" xfId="0" applyFont="1" applyBorder="1" applyAlignment="1">
      <alignment horizontal="left"/>
    </xf>
    <xf numFmtId="4" fontId="25" fillId="0" borderId="70" xfId="0" applyNumberFormat="1" applyFont="1" applyBorder="1" applyAlignment="1">
      <alignment horizontal="center"/>
    </xf>
    <xf numFmtId="4" fontId="25" fillId="0" borderId="77" xfId="0" applyNumberFormat="1" applyFont="1" applyBorder="1" applyAlignment="1">
      <alignment horizontal="center"/>
    </xf>
    <xf numFmtId="4" fontId="25" fillId="0" borderId="27" xfId="0" applyNumberFormat="1" applyFont="1" applyBorder="1" applyAlignment="1">
      <alignment horizontal="center"/>
    </xf>
    <xf numFmtId="4" fontId="25" fillId="0" borderId="28" xfId="0" applyNumberFormat="1" applyFont="1" applyBorder="1" applyAlignment="1">
      <alignment horizontal="center"/>
    </xf>
    <xf numFmtId="4" fontId="25" fillId="0" borderId="56" xfId="0" applyNumberFormat="1" applyFont="1" applyBorder="1" applyAlignment="1">
      <alignment horizontal="center"/>
    </xf>
    <xf numFmtId="169" fontId="25" fillId="0" borderId="0" xfId="0" applyNumberFormat="1" applyFont="1" applyAlignment="1">
      <alignment horizontal="center"/>
    </xf>
    <xf numFmtId="0" fontId="26" fillId="0" borderId="40" xfId="0" applyFont="1" applyBorder="1"/>
    <xf numFmtId="0" fontId="26" fillId="0" borderId="40" xfId="0" applyFont="1" applyBorder="1" applyAlignment="1">
      <alignment horizontal="center"/>
    </xf>
    <xf numFmtId="0" fontId="26" fillId="0" borderId="20" xfId="0" applyFont="1" applyBorder="1" applyAlignment="1">
      <alignment horizontal="center"/>
    </xf>
    <xf numFmtId="0" fontId="25" fillId="0" borderId="78" xfId="0" applyFont="1" applyBorder="1" applyAlignment="1">
      <alignment horizontal="left"/>
    </xf>
    <xf numFmtId="169" fontId="25" fillId="0" borderId="12" xfId="0" applyNumberFormat="1" applyFont="1" applyBorder="1" applyAlignment="1">
      <alignment horizontal="center"/>
    </xf>
    <xf numFmtId="169" fontId="25" fillId="0" borderId="79" xfId="0" applyNumberFormat="1" applyFont="1" applyBorder="1" applyAlignment="1">
      <alignment horizontal="center"/>
    </xf>
    <xf numFmtId="0" fontId="25" fillId="27" borderId="21" xfId="0" applyFont="1" applyFill="1" applyBorder="1" applyAlignment="1">
      <alignment horizontal="center"/>
    </xf>
    <xf numFmtId="10" fontId="25" fillId="0" borderId="57" xfId="0" applyNumberFormat="1" applyFont="1" applyBorder="1" applyAlignment="1">
      <alignment horizontal="center"/>
    </xf>
    <xf numFmtId="0" fontId="26" fillId="30" borderId="59" xfId="0" applyFont="1" applyFill="1" applyBorder="1" applyAlignment="1">
      <alignment horizontal="left"/>
    </xf>
    <xf numFmtId="4" fontId="26" fillId="30" borderId="63" xfId="0" applyNumberFormat="1" applyFont="1" applyFill="1" applyBorder="1" applyAlignment="1">
      <alignment horizontal="center"/>
    </xf>
    <xf numFmtId="0" fontId="34" fillId="24" borderId="17" xfId="10" applyFont="1" applyFill="1" applyBorder="1" applyAlignment="1">
      <alignment horizontal="left"/>
    </xf>
    <xf numFmtId="0" fontId="31" fillId="24" borderId="57" xfId="0" applyFont="1" applyFill="1" applyBorder="1" applyAlignment="1">
      <alignment horizontal="center"/>
    </xf>
    <xf numFmtId="10" fontId="25" fillId="0" borderId="61" xfId="0" applyNumberFormat="1" applyFont="1" applyBorder="1" applyAlignment="1">
      <alignment horizontal="center"/>
    </xf>
    <xf numFmtId="0" fontId="25" fillId="0" borderId="72" xfId="0" applyFont="1" applyBorder="1" applyAlignment="1">
      <alignment horizontal="center"/>
    </xf>
    <xf numFmtId="0" fontId="8" fillId="0" borderId="17" xfId="10" applyFont="1" applyBorder="1" applyAlignment="1">
      <alignment horizontal="left"/>
    </xf>
    <xf numFmtId="4" fontId="25" fillId="0" borderId="57" xfId="0" applyNumberFormat="1" applyFont="1" applyBorder="1" applyAlignment="1">
      <alignment horizontal="center"/>
    </xf>
    <xf numFmtId="0" fontId="34" fillId="30" borderId="59" xfId="10" applyFont="1" applyFill="1" applyBorder="1" applyAlignment="1">
      <alignment horizontal="left"/>
    </xf>
    <xf numFmtId="4" fontId="31" fillId="30" borderId="63" xfId="0" applyNumberFormat="1" applyFont="1" applyFill="1" applyBorder="1" applyAlignment="1">
      <alignment horizontal="center"/>
    </xf>
    <xf numFmtId="4" fontId="31" fillId="30" borderId="61" xfId="0" applyNumberFormat="1" applyFont="1" applyFill="1" applyBorder="1" applyAlignment="1">
      <alignment horizontal="center"/>
    </xf>
    <xf numFmtId="0" fontId="26" fillId="0" borderId="0" xfId="0" applyFont="1"/>
    <xf numFmtId="4" fontId="26" fillId="0" borderId="0" xfId="0" applyNumberFormat="1" applyFont="1" applyAlignment="1">
      <alignment horizontal="center"/>
    </xf>
    <xf numFmtId="0" fontId="25" fillId="27" borderId="0" xfId="0" applyFont="1" applyFill="1"/>
    <xf numFmtId="4" fontId="25" fillId="21" borderId="21" xfId="0" applyNumberFormat="1" applyFont="1" applyFill="1" applyBorder="1" applyAlignment="1">
      <alignment horizontal="center"/>
    </xf>
    <xf numFmtId="10" fontId="25" fillId="0" borderId="0" xfId="0" applyNumberFormat="1" applyFont="1"/>
    <xf numFmtId="0" fontId="25" fillId="0" borderId="18" xfId="0" applyFont="1" applyBorder="1"/>
    <xf numFmtId="10" fontId="25" fillId="0" borderId="57" xfId="0" applyNumberFormat="1" applyFont="1" applyBorder="1"/>
    <xf numFmtId="0" fontId="25" fillId="0" borderId="41" xfId="0" applyFont="1" applyBorder="1"/>
    <xf numFmtId="2" fontId="25" fillId="0" borderId="42" xfId="0" applyNumberFormat="1" applyFont="1" applyBorder="1" applyAlignment="1">
      <alignment horizontal="center"/>
    </xf>
    <xf numFmtId="0" fontId="25" fillId="0" borderId="59" xfId="0" applyFont="1" applyBorder="1"/>
    <xf numFmtId="10" fontId="25" fillId="0" borderId="19" xfId="0" applyNumberFormat="1" applyFont="1" applyBorder="1" applyAlignment="1">
      <alignment horizontal="center"/>
    </xf>
    <xf numFmtId="10" fontId="25" fillId="26" borderId="40" xfId="0" applyNumberFormat="1" applyFont="1" applyFill="1" applyBorder="1" applyAlignment="1">
      <alignment horizontal="center"/>
    </xf>
    <xf numFmtId="10" fontId="25" fillId="26" borderId="63" xfId="0" applyNumberFormat="1" applyFont="1" applyFill="1" applyBorder="1" applyAlignment="1">
      <alignment horizontal="center"/>
    </xf>
    <xf numFmtId="0" fontId="25" fillId="0" borderId="80" xfId="0" applyFont="1" applyBorder="1" applyAlignment="1">
      <alignment wrapText="1"/>
    </xf>
    <xf numFmtId="0" fontId="26" fillId="0" borderId="81" xfId="0" applyFont="1" applyBorder="1" applyAlignment="1">
      <alignment vertical="center"/>
    </xf>
    <xf numFmtId="2" fontId="25" fillId="0" borderId="24" xfId="0" applyNumberFormat="1" applyFont="1" applyBorder="1" applyAlignment="1">
      <alignment horizontal="center"/>
    </xf>
    <xf numFmtId="0" fontId="25" fillId="0" borderId="82" xfId="0" applyFont="1" applyBorder="1" applyAlignment="1">
      <alignment wrapText="1"/>
    </xf>
    <xf numFmtId="0" fontId="26" fillId="0" borderId="83" xfId="0" applyFont="1" applyBorder="1" applyAlignment="1">
      <alignment vertical="center"/>
    </xf>
    <xf numFmtId="170" fontId="25" fillId="0" borderId="26" xfId="0" applyNumberFormat="1" applyFont="1" applyBorder="1" applyAlignment="1">
      <alignment horizontal="center"/>
    </xf>
    <xf numFmtId="0" fontId="25" fillId="0" borderId="84" xfId="0" applyFont="1" applyBorder="1" applyAlignment="1">
      <alignment wrapText="1"/>
    </xf>
    <xf numFmtId="0" fontId="26" fillId="0" borderId="85" xfId="0" applyFont="1" applyBorder="1" applyAlignment="1">
      <alignment vertical="center"/>
    </xf>
    <xf numFmtId="170" fontId="25" fillId="0" borderId="29" xfId="0" applyNumberFormat="1" applyFont="1" applyBorder="1" applyAlignment="1">
      <alignment horizontal="center"/>
    </xf>
    <xf numFmtId="168" fontId="0" fillId="0" borderId="0" xfId="0" applyNumberFormat="1" applyFill="1" applyBorder="1"/>
    <xf numFmtId="0" fontId="10" fillId="0" borderId="35" xfId="0" applyFont="1" applyBorder="1"/>
    <xf numFmtId="0" fontId="0" fillId="0" borderId="0" xfId="0" applyBorder="1" applyAlignment="1">
      <alignment horizontal="center"/>
    </xf>
    <xf numFmtId="10" fontId="0" fillId="0" borderId="0" xfId="7" applyNumberFormat="1" applyFont="1" applyFill="1" applyBorder="1"/>
    <xf numFmtId="0" fontId="0" fillId="14" borderId="21" xfId="0" applyNumberFormat="1" applyFill="1" applyBorder="1"/>
    <xf numFmtId="10" fontId="0" fillId="0" borderId="0" xfId="0" applyNumberFormat="1" applyFill="1"/>
    <xf numFmtId="0" fontId="26" fillId="0" borderId="55" xfId="0" applyFont="1" applyBorder="1" applyAlignment="1">
      <alignment horizontal="left"/>
    </xf>
    <xf numFmtId="0" fontId="26" fillId="0" borderId="22" xfId="0" applyFont="1" applyBorder="1" applyAlignment="1">
      <alignment horizontal="left"/>
    </xf>
    <xf numFmtId="0" fontId="26" fillId="0" borderId="25" xfId="0" applyFont="1" applyBorder="1" applyAlignment="1">
      <alignment horizontal="left"/>
    </xf>
    <xf numFmtId="9" fontId="0" fillId="11" borderId="21" xfId="0" applyNumberFormat="1" applyFill="1" applyBorder="1"/>
    <xf numFmtId="9" fontId="0" fillId="14" borderId="21" xfId="7" applyFont="1" applyFill="1" applyBorder="1"/>
    <xf numFmtId="0" fontId="0" fillId="14" borderId="21" xfId="0" applyFill="1" applyBorder="1" applyAlignment="1">
      <alignment horizontal="center" vertical="center"/>
    </xf>
    <xf numFmtId="9" fontId="0" fillId="11" borderId="16" xfId="0" applyNumberFormat="1" applyFill="1" applyBorder="1"/>
    <xf numFmtId="9" fontId="0" fillId="14" borderId="16" xfId="7" applyFont="1" applyFill="1" applyBorder="1"/>
    <xf numFmtId="0" fontId="0" fillId="14" borderId="16" xfId="0" applyFill="1" applyBorder="1"/>
    <xf numFmtId="0" fontId="0" fillId="14" borderId="16" xfId="0" applyFill="1" applyBorder="1" applyAlignment="1">
      <alignment horizontal="center" vertical="center"/>
    </xf>
    <xf numFmtId="0" fontId="0" fillId="11" borderId="14" xfId="0" applyFill="1" applyBorder="1"/>
    <xf numFmtId="9" fontId="0" fillId="14" borderId="14" xfId="7" applyFont="1" applyFill="1" applyBorder="1"/>
    <xf numFmtId="0" fontId="0" fillId="14" borderId="14" xfId="0" applyFill="1" applyBorder="1" applyAlignment="1">
      <alignment horizontal="center" vertical="center"/>
    </xf>
    <xf numFmtId="0" fontId="0" fillId="0" borderId="52" xfId="0" applyBorder="1"/>
    <xf numFmtId="0" fontId="0" fillId="0" borderId="47" xfId="0" applyBorder="1" applyAlignment="1"/>
    <xf numFmtId="0" fontId="21" fillId="0" borderId="47" xfId="0" applyFont="1" applyBorder="1" applyAlignment="1"/>
    <xf numFmtId="0" fontId="0" fillId="0" borderId="35" xfId="0" applyBorder="1" applyAlignment="1">
      <alignment horizontal="right"/>
    </xf>
    <xf numFmtId="9" fontId="10" fillId="14" borderId="35" xfId="0" applyNumberFormat="1" applyFont="1" applyFill="1" applyBorder="1"/>
    <xf numFmtId="9" fontId="10" fillId="14" borderId="35" xfId="7" applyFont="1" applyFill="1" applyBorder="1"/>
    <xf numFmtId="0" fontId="10" fillId="14" borderId="36" xfId="0" applyFont="1" applyFill="1" applyBorder="1"/>
    <xf numFmtId="0" fontId="39" fillId="0" borderId="0" xfId="0" applyFont="1"/>
    <xf numFmtId="0" fontId="23" fillId="0" borderId="52" xfId="0" applyFont="1" applyFill="1" applyBorder="1" applyAlignment="1">
      <alignment horizontal="center" vertical="center" wrapText="1"/>
    </xf>
    <xf numFmtId="0" fontId="27" fillId="0" borderId="21" xfId="0" applyFont="1" applyBorder="1" applyAlignment="1">
      <alignment horizontal="center"/>
    </xf>
    <xf numFmtId="0" fontId="27" fillId="0" borderId="28" xfId="0" applyFont="1" applyBorder="1" applyAlignment="1">
      <alignment horizontal="center"/>
    </xf>
    <xf numFmtId="0" fontId="27" fillId="0" borderId="23" xfId="0" applyFont="1" applyBorder="1" applyAlignment="1">
      <alignment horizontal="center" vertical="center"/>
    </xf>
    <xf numFmtId="0" fontId="10" fillId="0" borderId="47" xfId="0" applyFont="1" applyBorder="1" applyAlignment="1">
      <alignment wrapText="1"/>
    </xf>
    <xf numFmtId="0" fontId="40" fillId="0" borderId="47" xfId="0" applyFont="1" applyBorder="1" applyAlignment="1">
      <alignment wrapText="1"/>
    </xf>
    <xf numFmtId="0" fontId="40" fillId="0" borderId="48" xfId="0" applyFont="1" applyBorder="1" applyAlignment="1">
      <alignment wrapText="1"/>
    </xf>
    <xf numFmtId="0" fontId="39" fillId="11" borderId="74" xfId="0" applyFont="1" applyFill="1" applyBorder="1" applyAlignment="1">
      <alignment horizontal="center" vertical="center"/>
    </xf>
    <xf numFmtId="0" fontId="39" fillId="11" borderId="38" xfId="0" applyFont="1" applyFill="1" applyBorder="1" applyAlignment="1">
      <alignment horizontal="center"/>
    </xf>
    <xf numFmtId="0" fontId="39" fillId="11" borderId="75" xfId="0" applyFont="1" applyFill="1" applyBorder="1" applyAlignment="1">
      <alignment horizontal="center"/>
    </xf>
    <xf numFmtId="0" fontId="25" fillId="0" borderId="16" xfId="0" applyNumberFormat="1" applyFont="1" applyBorder="1" applyAlignment="1">
      <alignment horizontal="center"/>
    </xf>
    <xf numFmtId="43" fontId="0" fillId="0" borderId="0" xfId="20" applyFont="1"/>
    <xf numFmtId="10" fontId="25" fillId="0" borderId="38" xfId="0" applyNumberFormat="1" applyFont="1" applyBorder="1" applyAlignment="1">
      <alignment horizontal="center"/>
    </xf>
    <xf numFmtId="165" fontId="25" fillId="0" borderId="74" xfId="0" applyNumberFormat="1" applyFont="1" applyBorder="1" applyAlignment="1">
      <alignment horizontal="center"/>
    </xf>
    <xf numFmtId="165" fontId="25" fillId="0" borderId="38" xfId="0" applyNumberFormat="1" applyFont="1" applyBorder="1" applyAlignment="1">
      <alignment horizontal="center"/>
    </xf>
    <xf numFmtId="165" fontId="25" fillId="0" borderId="75" xfId="0" applyNumberFormat="1" applyFont="1" applyBorder="1" applyAlignment="1">
      <alignment horizontal="center"/>
    </xf>
    <xf numFmtId="10" fontId="25" fillId="0" borderId="22" xfId="0" applyNumberFormat="1" applyFont="1" applyBorder="1" applyAlignment="1">
      <alignment horizontal="center"/>
    </xf>
    <xf numFmtId="10" fontId="25" fillId="0" borderId="25" xfId="0" applyNumberFormat="1" applyFont="1" applyBorder="1" applyAlignment="1">
      <alignment horizontal="center"/>
    </xf>
    <xf numFmtId="10" fontId="25" fillId="0" borderId="27" xfId="0" applyNumberFormat="1" applyFont="1" applyBorder="1" applyAlignment="1">
      <alignment horizontal="center"/>
    </xf>
    <xf numFmtId="0" fontId="10" fillId="0" borderId="34" xfId="0" applyFont="1" applyBorder="1"/>
    <xf numFmtId="10" fontId="10" fillId="0" borderId="35" xfId="7" applyNumberFormat="1" applyFont="1" applyBorder="1"/>
    <xf numFmtId="0" fontId="44" fillId="0" borderId="21" xfId="0" applyFont="1" applyBorder="1" applyAlignment="1" applyProtection="1">
      <alignment horizontal="center" vertical="center" wrapText="1"/>
      <protection hidden="1"/>
    </xf>
    <xf numFmtId="0" fontId="0" fillId="0" borderId="0" xfId="0" applyAlignment="1" applyProtection="1">
      <alignment vertical="center"/>
      <protection hidden="1"/>
    </xf>
    <xf numFmtId="0" fontId="44" fillId="30" borderId="21" xfId="22" applyFont="1" applyFill="1" applyBorder="1" applyAlignment="1" applyProtection="1">
      <alignment horizontal="center" vertical="center" wrapText="1"/>
      <protection hidden="1"/>
    </xf>
    <xf numFmtId="165" fontId="57" fillId="0" borderId="0" xfId="31" applyNumberFormat="1" applyFont="1" applyAlignment="1" applyProtection="1">
      <alignment horizontal="center" vertical="center" wrapText="1"/>
      <protection hidden="1"/>
    </xf>
    <xf numFmtId="165" fontId="57" fillId="27" borderId="21" xfId="31" applyNumberFormat="1" applyFont="1" applyFill="1" applyBorder="1" applyAlignment="1" applyProtection="1">
      <alignment horizontal="center" vertical="center"/>
      <protection locked="0"/>
    </xf>
    <xf numFmtId="165" fontId="46" fillId="31" borderId="21" xfId="31" applyNumberFormat="1" applyFont="1" applyFill="1" applyBorder="1" applyAlignment="1" applyProtection="1">
      <alignment horizontal="center" vertical="center"/>
      <protection hidden="1"/>
    </xf>
    <xf numFmtId="174" fontId="41" fillId="0" borderId="86" xfId="30" applyNumberFormat="1" applyBorder="1" applyAlignment="1" applyProtection="1">
      <alignment horizontal="center" vertical="center"/>
      <protection hidden="1"/>
    </xf>
    <xf numFmtId="174" fontId="41" fillId="0" borderId="38" xfId="30" applyNumberFormat="1" applyBorder="1" applyAlignment="1" applyProtection="1">
      <alignment horizontal="center" vertical="center"/>
      <protection hidden="1"/>
    </xf>
    <xf numFmtId="0" fontId="43" fillId="30" borderId="21" xfId="0" applyFont="1" applyFill="1" applyBorder="1" applyAlignment="1" applyProtection="1">
      <alignment vertical="center"/>
      <protection hidden="1"/>
    </xf>
    <xf numFmtId="0" fontId="43" fillId="30" borderId="21" xfId="0" applyFont="1" applyFill="1" applyBorder="1" applyAlignment="1" applyProtection="1">
      <alignment horizontal="center" vertical="center"/>
      <protection hidden="1"/>
    </xf>
    <xf numFmtId="0" fontId="43" fillId="24" borderId="21" xfId="0" applyFont="1" applyFill="1" applyBorder="1" applyAlignment="1" applyProtection="1">
      <alignment horizontal="center" vertical="center"/>
      <protection hidden="1"/>
    </xf>
    <xf numFmtId="0" fontId="43" fillId="0" borderId="21" xfId="0" applyFont="1" applyBorder="1" applyAlignment="1" applyProtection="1">
      <alignment horizontal="center" vertical="center"/>
      <protection hidden="1"/>
    </xf>
    <xf numFmtId="0" fontId="0" fillId="0" borderId="14" xfId="0" applyBorder="1" applyAlignment="1" applyProtection="1">
      <alignment horizontal="center" vertical="center"/>
      <protection hidden="1"/>
    </xf>
    <xf numFmtId="0" fontId="0" fillId="0" borderId="15" xfId="0" applyBorder="1" applyAlignment="1" applyProtection="1">
      <alignment vertical="center"/>
      <protection hidden="1"/>
    </xf>
    <xf numFmtId="41" fontId="57" fillId="0" borderId="0" xfId="0" applyNumberFormat="1" applyFont="1" applyAlignment="1" applyProtection="1">
      <alignment horizontal="center" vertical="center"/>
      <protection hidden="1"/>
    </xf>
    <xf numFmtId="0" fontId="0" fillId="0" borderId="15" xfId="0" applyBorder="1" applyAlignment="1" applyProtection="1">
      <alignment horizontal="center" vertical="center"/>
      <protection hidden="1"/>
    </xf>
    <xf numFmtId="41" fontId="57" fillId="0" borderId="10" xfId="0" applyNumberFormat="1" applyFont="1"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16" xfId="0" applyBorder="1" applyAlignment="1" applyProtection="1">
      <alignment vertical="center"/>
      <protection hidden="1"/>
    </xf>
    <xf numFmtId="0" fontId="42" fillId="0" borderId="0" xfId="0" applyFont="1" applyAlignment="1" applyProtection="1">
      <alignment horizontal="center" vertical="center"/>
      <protection hidden="1"/>
    </xf>
    <xf numFmtId="0" fontId="42" fillId="0" borderId="10" xfId="0" applyFont="1" applyBorder="1" applyAlignment="1" applyProtection="1">
      <alignment horizontal="center" vertical="center"/>
      <protection hidden="1"/>
    </xf>
    <xf numFmtId="0" fontId="43" fillId="0" borderId="12" xfId="0" applyFont="1" applyBorder="1" applyAlignment="1" applyProtection="1">
      <alignment horizontal="center" vertical="center"/>
      <protection hidden="1"/>
    </xf>
    <xf numFmtId="0" fontId="43" fillId="0" borderId="0" xfId="0" applyFont="1" applyAlignment="1" applyProtection="1">
      <alignment horizontal="center" vertical="center"/>
      <protection hidden="1"/>
    </xf>
    <xf numFmtId="41" fontId="50" fillId="0" borderId="86" xfId="29" applyNumberFormat="1" applyFont="1" applyBorder="1" applyAlignment="1" applyProtection="1">
      <alignment vertical="center"/>
      <protection hidden="1"/>
    </xf>
    <xf numFmtId="0" fontId="43" fillId="30" borderId="16" xfId="0" applyFont="1" applyFill="1" applyBorder="1" applyAlignment="1" applyProtection="1">
      <alignment vertical="center"/>
      <protection hidden="1"/>
    </xf>
    <xf numFmtId="0" fontId="0" fillId="0" borderId="0" xfId="0" applyAlignment="1" applyProtection="1">
      <alignment horizontal="center" vertical="center"/>
      <protection hidden="1"/>
    </xf>
    <xf numFmtId="3" fontId="55" fillId="0" borderId="0" xfId="0" applyNumberFormat="1" applyFont="1" applyAlignment="1" applyProtection="1">
      <alignment vertical="center"/>
      <protection hidden="1"/>
    </xf>
    <xf numFmtId="0" fontId="0" fillId="0" borderId="14" xfId="0" applyBorder="1" applyAlignment="1" applyProtection="1">
      <alignment vertical="center"/>
      <protection hidden="1"/>
    </xf>
    <xf numFmtId="0" fontId="0" fillId="0" borderId="12" xfId="0" applyBorder="1" applyAlignment="1" applyProtection="1">
      <alignment vertical="center"/>
      <protection hidden="1"/>
    </xf>
    <xf numFmtId="0" fontId="0" fillId="0" borderId="12" xfId="0" applyBorder="1" applyAlignment="1" applyProtection="1">
      <alignment horizontal="center" vertical="center"/>
      <protection hidden="1"/>
    </xf>
    <xf numFmtId="3" fontId="55" fillId="0" borderId="12" xfId="0" applyNumberFormat="1" applyFont="1" applyBorder="1" applyAlignment="1" applyProtection="1">
      <alignment vertical="center"/>
      <protection hidden="1"/>
    </xf>
    <xf numFmtId="0" fontId="46" fillId="0" borderId="0" xfId="0" applyFont="1" applyAlignment="1" applyProtection="1">
      <alignment vertical="center"/>
      <protection hidden="1"/>
    </xf>
    <xf numFmtId="0" fontId="0" fillId="0" borderId="21" xfId="0" applyBorder="1" applyAlignment="1" applyProtection="1">
      <alignment horizontal="center" vertical="center"/>
      <protection hidden="1"/>
    </xf>
    <xf numFmtId="0" fontId="42" fillId="0" borderId="9" xfId="0" applyFont="1" applyBorder="1" applyAlignment="1" applyProtection="1">
      <alignment vertical="center"/>
      <protection hidden="1"/>
    </xf>
    <xf numFmtId="0" fontId="42" fillId="0" borderId="0" xfId="0" applyFont="1" applyAlignment="1" applyProtection="1">
      <alignment vertical="center"/>
      <protection hidden="1"/>
    </xf>
    <xf numFmtId="0" fontId="42" fillId="0" borderId="10" xfId="0" applyFont="1" applyBorder="1" applyAlignment="1" applyProtection="1">
      <alignment vertical="center"/>
      <protection hidden="1"/>
    </xf>
    <xf numFmtId="0" fontId="45" fillId="30" borderId="38" xfId="0" applyFont="1" applyFill="1" applyBorder="1" applyAlignment="1" applyProtection="1">
      <alignment vertical="center"/>
      <protection hidden="1"/>
    </xf>
    <xf numFmtId="0" fontId="45" fillId="30" borderId="86" xfId="0" applyFont="1" applyFill="1" applyBorder="1" applyAlignment="1" applyProtection="1">
      <alignment vertical="center"/>
      <protection hidden="1"/>
    </xf>
    <xf numFmtId="0" fontId="44" fillId="0" borderId="6" xfId="0" applyFont="1" applyBorder="1" applyAlignment="1" applyProtection="1">
      <alignment horizontal="left" vertical="center"/>
      <protection hidden="1"/>
    </xf>
    <xf numFmtId="0" fontId="45" fillId="30" borderId="21" xfId="0" applyFont="1" applyFill="1" applyBorder="1" applyAlignment="1" applyProtection="1">
      <alignment horizontal="center" vertical="center"/>
      <protection hidden="1"/>
    </xf>
    <xf numFmtId="0" fontId="43" fillId="0" borderId="14" xfId="0" applyFont="1" applyBorder="1" applyAlignment="1" applyProtection="1">
      <alignment horizontal="center" vertical="center"/>
      <protection hidden="1"/>
    </xf>
    <xf numFmtId="41" fontId="0" fillId="0" borderId="15" xfId="0" applyNumberFormat="1" applyBorder="1" applyAlignment="1" applyProtection="1">
      <alignment vertical="center"/>
      <protection hidden="1"/>
    </xf>
    <xf numFmtId="0" fontId="0" fillId="0" borderId="11" xfId="0" applyBorder="1" applyAlignment="1" applyProtection="1">
      <alignment vertical="center"/>
      <protection hidden="1"/>
    </xf>
    <xf numFmtId="0" fontId="44" fillId="23" borderId="21" xfId="0" applyFont="1" applyFill="1" applyBorder="1" applyAlignment="1" applyProtection="1">
      <alignment horizontal="center" vertical="center"/>
      <protection hidden="1"/>
    </xf>
    <xf numFmtId="3" fontId="46" fillId="0" borderId="21" xfId="0" applyNumberFormat="1" applyFont="1" applyBorder="1" applyAlignment="1" applyProtection="1">
      <alignment vertical="center"/>
      <protection hidden="1"/>
    </xf>
    <xf numFmtId="3" fontId="46" fillId="6" borderId="21" xfId="0" applyNumberFormat="1" applyFont="1" applyFill="1" applyBorder="1" applyAlignment="1" applyProtection="1">
      <alignment vertical="center"/>
      <protection hidden="1"/>
    </xf>
    <xf numFmtId="0" fontId="52" fillId="0" borderId="0" xfId="0" applyFont="1" applyAlignment="1" applyProtection="1">
      <alignment horizontal="center" vertical="center"/>
      <protection hidden="1"/>
    </xf>
    <xf numFmtId="0" fontId="42" fillId="12" borderId="38" xfId="0" applyFont="1" applyFill="1" applyBorder="1" applyAlignment="1" applyProtection="1">
      <alignment horizontal="center" vertical="center"/>
      <protection locked="0"/>
    </xf>
    <xf numFmtId="0" fontId="44" fillId="0" borderId="58" xfId="0" quotePrefix="1" applyFont="1" applyBorder="1" applyAlignment="1" applyProtection="1">
      <alignment horizontal="center" vertical="center"/>
      <protection hidden="1"/>
    </xf>
    <xf numFmtId="0" fontId="56" fillId="0" borderId="86" xfId="0" applyFont="1" applyBorder="1" applyAlignment="1" applyProtection="1">
      <alignment horizontal="center" vertical="center"/>
      <protection hidden="1"/>
    </xf>
    <xf numFmtId="0" fontId="49" fillId="0" borderId="86" xfId="0" applyFont="1" applyBorder="1" applyAlignment="1" applyProtection="1">
      <alignment horizontal="center" vertical="center"/>
      <protection hidden="1"/>
    </xf>
    <xf numFmtId="0" fontId="49" fillId="0" borderId="0" xfId="0" applyFont="1" applyAlignment="1" applyProtection="1">
      <alignment horizontal="center" vertical="center"/>
      <protection hidden="1"/>
    </xf>
    <xf numFmtId="0" fontId="44" fillId="23" borderId="21" xfId="0" applyFont="1" applyFill="1" applyBorder="1" applyAlignment="1" applyProtection="1">
      <alignment horizontal="center"/>
      <protection hidden="1"/>
    </xf>
    <xf numFmtId="3" fontId="0" fillId="0" borderId="0" xfId="0" applyNumberFormat="1" applyAlignment="1" applyProtection="1">
      <alignment vertical="center"/>
      <protection hidden="1"/>
    </xf>
    <xf numFmtId="164" fontId="43" fillId="0" borderId="21" xfId="0" applyNumberFormat="1" applyFont="1" applyBorder="1" applyAlignment="1" applyProtection="1">
      <alignment horizontal="center" vertical="center"/>
      <protection hidden="1"/>
    </xf>
    <xf numFmtId="0" fontId="0" fillId="11" borderId="28" xfId="0" applyFill="1" applyBorder="1" applyAlignment="1">
      <alignment wrapText="1"/>
    </xf>
    <xf numFmtId="0" fontId="0" fillId="14" borderId="6" xfId="0" applyFill="1" applyBorder="1" applyAlignment="1" applyProtection="1">
      <alignment vertical="center"/>
      <protection locked="0"/>
    </xf>
    <xf numFmtId="0" fontId="0" fillId="14" borderId="9" xfId="0" applyFill="1" applyBorder="1" applyAlignment="1" applyProtection="1">
      <alignment vertical="center"/>
      <protection locked="0"/>
    </xf>
    <xf numFmtId="0" fontId="0" fillId="14" borderId="11" xfId="0" applyFill="1" applyBorder="1" applyAlignment="1" applyProtection="1">
      <alignment vertical="center"/>
      <protection locked="0"/>
    </xf>
    <xf numFmtId="0" fontId="11" fillId="0" borderId="0" xfId="0" applyFont="1" applyAlignment="1">
      <alignment horizontal="right"/>
    </xf>
    <xf numFmtId="0" fontId="0" fillId="7" borderId="14" xfId="0" applyFill="1" applyBorder="1" applyAlignment="1" applyProtection="1">
      <alignment vertical="center"/>
      <protection locked="0"/>
    </xf>
    <xf numFmtId="0" fontId="0" fillId="7" borderId="15" xfId="0" applyFill="1" applyBorder="1" applyAlignment="1" applyProtection="1">
      <alignment vertical="center"/>
      <protection locked="0"/>
    </xf>
    <xf numFmtId="0" fontId="0" fillId="7" borderId="16" xfId="0" applyFill="1" applyBorder="1" applyAlignment="1" applyProtection="1">
      <alignment vertical="center"/>
      <protection locked="0"/>
    </xf>
    <xf numFmtId="165" fontId="44" fillId="14" borderId="14" xfId="31" applyNumberFormat="1" applyFont="1" applyFill="1" applyBorder="1" applyAlignment="1" applyProtection="1">
      <alignment horizontal="center" vertical="center"/>
      <protection hidden="1"/>
    </xf>
    <xf numFmtId="41" fontId="44" fillId="14" borderId="14" xfId="0" applyNumberFormat="1" applyFont="1" applyFill="1" applyBorder="1" applyAlignment="1" applyProtection="1">
      <alignment vertical="center"/>
      <protection hidden="1"/>
    </xf>
    <xf numFmtId="165" fontId="44" fillId="14" borderId="15" xfId="31" applyNumberFormat="1" applyFont="1" applyFill="1" applyBorder="1" applyAlignment="1" applyProtection="1">
      <alignment horizontal="center" vertical="center"/>
      <protection hidden="1"/>
    </xf>
    <xf numFmtId="41" fontId="44" fillId="14" borderId="15" xfId="0" applyNumberFormat="1" applyFont="1" applyFill="1" applyBorder="1" applyAlignment="1" applyProtection="1">
      <alignment vertical="center"/>
      <protection hidden="1"/>
    </xf>
    <xf numFmtId="165" fontId="44" fillId="14" borderId="16" xfId="31" applyNumberFormat="1" applyFont="1" applyFill="1" applyBorder="1" applyAlignment="1" applyProtection="1">
      <alignment horizontal="center" vertical="center"/>
      <protection hidden="1"/>
    </xf>
    <xf numFmtId="41" fontId="44" fillId="14" borderId="16" xfId="0" applyNumberFormat="1" applyFont="1" applyFill="1" applyBorder="1" applyAlignment="1" applyProtection="1">
      <alignment vertical="center"/>
      <protection hidden="1"/>
    </xf>
    <xf numFmtId="41" fontId="44" fillId="14" borderId="21" xfId="29" applyNumberFormat="1" applyFont="1" applyFill="1" applyBorder="1" applyAlignment="1" applyProtection="1">
      <alignment vertical="center"/>
      <protection hidden="1"/>
    </xf>
    <xf numFmtId="41" fontId="44" fillId="32" borderId="14" xfId="0" applyNumberFormat="1" applyFont="1" applyFill="1" applyBorder="1" applyAlignment="1" applyProtection="1">
      <alignment vertical="center"/>
      <protection locked="0"/>
    </xf>
    <xf numFmtId="41" fontId="44" fillId="32" borderId="15" xfId="0" applyNumberFormat="1" applyFont="1" applyFill="1" applyBorder="1" applyAlignment="1" applyProtection="1">
      <alignment vertical="center"/>
      <protection locked="0"/>
    </xf>
    <xf numFmtId="41" fontId="44" fillId="32" borderId="16" xfId="0" applyNumberFormat="1" applyFont="1" applyFill="1" applyBorder="1" applyAlignment="1" applyProtection="1">
      <alignment vertical="center"/>
      <protection locked="0"/>
    </xf>
    <xf numFmtId="173" fontId="44" fillId="14" borderId="21" xfId="30" applyNumberFormat="1" applyFont="1" applyFill="1" applyBorder="1" applyAlignment="1" applyProtection="1">
      <alignment horizontal="center" vertical="center"/>
      <protection locked="0"/>
    </xf>
    <xf numFmtId="1" fontId="44" fillId="32" borderId="10" xfId="0" applyNumberFormat="1" applyFont="1" applyFill="1" applyBorder="1" applyAlignment="1" applyProtection="1">
      <alignment horizontal="center" vertical="center"/>
      <protection locked="0"/>
    </xf>
    <xf numFmtId="1" fontId="44" fillId="32" borderId="15" xfId="0" applyNumberFormat="1" applyFont="1" applyFill="1" applyBorder="1" applyAlignment="1" applyProtection="1">
      <alignment horizontal="center" vertical="center"/>
      <protection locked="0"/>
    </xf>
    <xf numFmtId="1" fontId="44" fillId="32" borderId="16" xfId="0" applyNumberFormat="1" applyFont="1" applyFill="1" applyBorder="1" applyAlignment="1" applyProtection="1">
      <alignment horizontal="center" vertical="center"/>
      <protection locked="0"/>
    </xf>
    <xf numFmtId="1" fontId="44" fillId="32" borderId="13" xfId="0" applyNumberFormat="1" applyFont="1" applyFill="1" applyBorder="1" applyAlignment="1" applyProtection="1">
      <alignment horizontal="center" vertical="center"/>
      <protection locked="0"/>
    </xf>
    <xf numFmtId="4" fontId="44" fillId="32" borderId="8" xfId="0" applyNumberFormat="1" applyFont="1" applyFill="1" applyBorder="1" applyAlignment="1" applyProtection="1">
      <alignment horizontal="center" vertical="center"/>
      <protection locked="0"/>
    </xf>
    <xf numFmtId="4" fontId="44" fillId="32" borderId="10" xfId="0" applyNumberFormat="1" applyFont="1" applyFill="1" applyBorder="1" applyAlignment="1" applyProtection="1">
      <alignment horizontal="center" vertical="center"/>
      <protection locked="0"/>
    </xf>
    <xf numFmtId="3" fontId="44" fillId="32" borderId="10" xfId="0" applyNumberFormat="1" applyFont="1" applyFill="1" applyBorder="1" applyAlignment="1" applyProtection="1">
      <alignment horizontal="center" vertical="center"/>
      <protection locked="0"/>
    </xf>
    <xf numFmtId="175" fontId="44" fillId="32" borderId="10" xfId="0" applyNumberFormat="1" applyFont="1" applyFill="1" applyBorder="1" applyAlignment="1" applyProtection="1">
      <alignment horizontal="center" vertical="center"/>
      <protection locked="0"/>
    </xf>
    <xf numFmtId="3" fontId="44" fillId="32" borderId="13" xfId="0" applyNumberFormat="1" applyFont="1" applyFill="1" applyBorder="1" applyAlignment="1" applyProtection="1">
      <alignment horizontal="center" vertical="center"/>
      <protection locked="0"/>
    </xf>
    <xf numFmtId="0" fontId="11" fillId="0" borderId="14" xfId="0" applyFont="1" applyBorder="1" applyAlignment="1" applyProtection="1">
      <alignment horizontal="center" vertical="center"/>
      <protection hidden="1"/>
    </xf>
    <xf numFmtId="1" fontId="44" fillId="14" borderId="10" xfId="0" applyNumberFormat="1" applyFont="1" applyFill="1" applyBorder="1" applyAlignment="1" applyProtection="1">
      <alignment horizontal="center" vertical="center"/>
      <protection locked="0"/>
    </xf>
    <xf numFmtId="0" fontId="11" fillId="0" borderId="15" xfId="0" applyFont="1" applyBorder="1" applyAlignment="1" applyProtection="1">
      <alignment horizontal="center" vertical="center"/>
      <protection hidden="1"/>
    </xf>
    <xf numFmtId="3" fontId="44" fillId="14" borderId="10" xfId="0" applyNumberFormat="1" applyFont="1" applyFill="1" applyBorder="1" applyAlignment="1" applyProtection="1">
      <alignment horizontal="center" vertical="center"/>
      <protection locked="0"/>
    </xf>
    <xf numFmtId="41" fontId="44" fillId="14" borderId="0" xfId="0" applyNumberFormat="1" applyFont="1" applyFill="1" applyAlignment="1" applyProtection="1">
      <alignment horizontal="center" vertical="center"/>
      <protection hidden="1"/>
    </xf>
    <xf numFmtId="41" fontId="44" fillId="14" borderId="8" xfId="0" applyNumberFormat="1" applyFont="1" applyFill="1" applyBorder="1" applyAlignment="1" applyProtection="1">
      <alignment horizontal="center" vertical="center"/>
      <protection hidden="1"/>
    </xf>
    <xf numFmtId="41" fontId="44" fillId="14" borderId="10" xfId="0" applyNumberFormat="1" applyFont="1" applyFill="1" applyBorder="1" applyAlignment="1" applyProtection="1">
      <alignment horizontal="center" vertical="center"/>
      <protection hidden="1"/>
    </xf>
    <xf numFmtId="41" fontId="45" fillId="14" borderId="21" xfId="29" applyNumberFormat="1" applyFont="1" applyFill="1" applyBorder="1" applyAlignment="1" applyProtection="1">
      <alignment vertical="center"/>
      <protection hidden="1"/>
    </xf>
    <xf numFmtId="0" fontId="44" fillId="0" borderId="15" xfId="0" applyFont="1" applyBorder="1" applyAlignment="1" applyProtection="1">
      <alignment vertical="center"/>
      <protection hidden="1"/>
    </xf>
    <xf numFmtId="0" fontId="44" fillId="0" borderId="16" xfId="0" applyFont="1" applyBorder="1" applyAlignment="1" applyProtection="1">
      <alignment vertical="center"/>
      <protection hidden="1"/>
    </xf>
    <xf numFmtId="165" fontId="44" fillId="32" borderId="0" xfId="31" applyNumberFormat="1" applyFont="1" applyFill="1" applyAlignment="1" applyProtection="1">
      <alignment horizontal="center" vertical="center" wrapText="1"/>
      <protection locked="0"/>
    </xf>
    <xf numFmtId="165" fontId="44" fillId="32" borderId="8" xfId="31" applyNumberFormat="1" applyFont="1" applyFill="1" applyBorder="1" applyAlignment="1" applyProtection="1">
      <alignment horizontal="center" vertical="center" wrapText="1"/>
      <protection locked="0"/>
    </xf>
    <xf numFmtId="165" fontId="44" fillId="32" borderId="10" xfId="31" applyNumberFormat="1" applyFont="1" applyFill="1" applyBorder="1" applyAlignment="1" applyProtection="1">
      <alignment horizontal="center" vertical="center" wrapText="1"/>
      <protection locked="0"/>
    </xf>
    <xf numFmtId="165" fontId="44" fillId="32" borderId="11" xfId="31" applyNumberFormat="1" applyFont="1" applyFill="1" applyBorder="1" applyAlignment="1" applyProtection="1">
      <alignment horizontal="center" vertical="center" wrapText="1"/>
      <protection locked="0"/>
    </xf>
    <xf numFmtId="165" fontId="44" fillId="32" borderId="12" xfId="31" applyNumberFormat="1" applyFont="1" applyFill="1" applyBorder="1" applyAlignment="1" applyProtection="1">
      <alignment horizontal="center" vertical="center" wrapText="1"/>
      <protection locked="0"/>
    </xf>
    <xf numFmtId="165" fontId="44" fillId="32" borderId="13" xfId="31" applyNumberFormat="1" applyFont="1" applyFill="1" applyBorder="1" applyAlignment="1" applyProtection="1">
      <alignment horizontal="center" vertical="center" wrapText="1"/>
      <protection locked="0"/>
    </xf>
    <xf numFmtId="41" fontId="44" fillId="0" borderId="0" xfId="0" applyNumberFormat="1" applyFont="1" applyAlignment="1" applyProtection="1">
      <alignment horizontal="center" vertical="center"/>
      <protection hidden="1"/>
    </xf>
    <xf numFmtId="1" fontId="44" fillId="14" borderId="8" xfId="0" applyNumberFormat="1" applyFont="1" applyFill="1" applyBorder="1" applyAlignment="1" applyProtection="1">
      <alignment horizontal="center" vertical="center"/>
      <protection locked="0"/>
    </xf>
    <xf numFmtId="2" fontId="44" fillId="14" borderId="8" xfId="0" applyNumberFormat="1" applyFont="1" applyFill="1" applyBorder="1" applyAlignment="1" applyProtection="1">
      <alignment horizontal="center" vertical="center"/>
      <protection locked="0"/>
    </xf>
    <xf numFmtId="2" fontId="44" fillId="14" borderId="10" xfId="0" applyNumberFormat="1" applyFont="1" applyFill="1" applyBorder="1" applyAlignment="1" applyProtection="1">
      <alignment horizontal="center" vertical="center"/>
      <protection locked="0"/>
    </xf>
    <xf numFmtId="41" fontId="44" fillId="32" borderId="15" xfId="0" applyNumberFormat="1" applyFont="1" applyFill="1" applyBorder="1" applyAlignment="1" applyProtection="1">
      <alignment horizontal="center" vertical="center"/>
      <protection locked="0"/>
    </xf>
    <xf numFmtId="41" fontId="44" fillId="32" borderId="16" xfId="0" applyNumberFormat="1" applyFont="1" applyFill="1" applyBorder="1" applyAlignment="1" applyProtection="1">
      <alignment horizontal="center" vertical="center"/>
      <protection locked="0"/>
    </xf>
    <xf numFmtId="0" fontId="44" fillId="14" borderId="14" xfId="0" applyFont="1" applyFill="1" applyBorder="1" applyAlignment="1" applyProtection="1">
      <alignment vertical="center"/>
      <protection hidden="1"/>
    </xf>
    <xf numFmtId="0" fontId="44" fillId="14" borderId="15" xfId="0" applyFont="1" applyFill="1" applyBorder="1" applyAlignment="1" applyProtection="1">
      <alignment vertical="center"/>
      <protection hidden="1"/>
    </xf>
    <xf numFmtId="0" fontId="44" fillId="14" borderId="87" xfId="0" applyFont="1" applyFill="1" applyBorder="1" applyAlignment="1" applyProtection="1">
      <alignment vertical="center"/>
      <protection hidden="1"/>
    </xf>
    <xf numFmtId="0" fontId="44" fillId="14" borderId="16" xfId="0" applyFont="1" applyFill="1" applyBorder="1" applyAlignment="1" applyProtection="1">
      <alignment vertical="center"/>
      <protection hidden="1"/>
    </xf>
    <xf numFmtId="0" fontId="11" fillId="14" borderId="6" xfId="0" applyFont="1" applyFill="1" applyBorder="1" applyAlignment="1" applyProtection="1">
      <alignment vertical="center"/>
      <protection hidden="1"/>
    </xf>
    <xf numFmtId="41" fontId="44" fillId="14" borderId="7" xfId="0" applyNumberFormat="1" applyFont="1" applyFill="1" applyBorder="1" applyAlignment="1" applyProtection="1">
      <alignment vertical="center"/>
      <protection hidden="1"/>
    </xf>
    <xf numFmtId="41" fontId="44" fillId="14" borderId="8" xfId="0" applyNumberFormat="1" applyFont="1" applyFill="1" applyBorder="1" applyAlignment="1" applyProtection="1">
      <alignment vertical="center"/>
      <protection hidden="1"/>
    </xf>
    <xf numFmtId="41" fontId="44" fillId="14" borderId="11" xfId="0" applyNumberFormat="1" applyFont="1" applyFill="1" applyBorder="1" applyAlignment="1" applyProtection="1">
      <alignment vertical="center"/>
      <protection hidden="1"/>
    </xf>
    <xf numFmtId="41" fontId="44" fillId="14" borderId="12" xfId="0" applyNumberFormat="1" applyFont="1" applyFill="1" applyBorder="1" applyAlignment="1" applyProtection="1">
      <alignment vertical="center"/>
      <protection hidden="1"/>
    </xf>
    <xf numFmtId="41" fontId="44" fillId="14" borderId="13" xfId="0" applyNumberFormat="1" applyFont="1" applyFill="1" applyBorder="1" applyAlignment="1" applyProtection="1">
      <alignment vertical="center"/>
      <protection hidden="1"/>
    </xf>
    <xf numFmtId="172" fontId="44" fillId="14" borderId="21" xfId="0" applyNumberFormat="1" applyFont="1" applyFill="1" applyBorder="1" applyAlignment="1" applyProtection="1">
      <alignment horizontal="center" vertical="center"/>
      <protection hidden="1"/>
    </xf>
    <xf numFmtId="1" fontId="45" fillId="14" borderId="21" xfId="0" applyNumberFormat="1" applyFont="1" applyFill="1" applyBorder="1" applyAlignment="1" applyProtection="1">
      <alignment horizontal="center" vertical="center"/>
      <protection hidden="1"/>
    </xf>
    <xf numFmtId="9" fontId="44" fillId="14" borderId="21" xfId="31" applyFont="1" applyFill="1" applyBorder="1" applyAlignment="1" applyProtection="1">
      <alignment horizontal="center" vertical="center"/>
      <protection hidden="1"/>
    </xf>
    <xf numFmtId="0" fontId="25" fillId="0" borderId="0" xfId="0" applyFont="1" applyAlignment="1" applyProtection="1">
      <alignment vertical="center"/>
      <protection hidden="1"/>
    </xf>
    <xf numFmtId="1" fontId="0" fillId="11" borderId="21" xfId="0" applyNumberFormat="1" applyFill="1" applyBorder="1"/>
    <xf numFmtId="1" fontId="0" fillId="11" borderId="23" xfId="0" applyNumberFormat="1" applyFill="1" applyBorder="1"/>
    <xf numFmtId="0" fontId="26" fillId="0" borderId="0" xfId="0" applyFont="1" applyAlignment="1" applyProtection="1">
      <alignment vertical="center"/>
      <protection hidden="1"/>
    </xf>
    <xf numFmtId="0" fontId="11" fillId="0" borderId="25" xfId="0" applyFont="1" applyBorder="1"/>
    <xf numFmtId="0" fontId="0" fillId="0" borderId="0" xfId="0" applyFill="1" applyAlignment="1">
      <alignment horizontal="right"/>
    </xf>
    <xf numFmtId="0" fontId="25" fillId="0" borderId="21" xfId="0" applyFont="1" applyBorder="1" applyAlignment="1">
      <alignment horizontal="left"/>
    </xf>
    <xf numFmtId="0" fontId="25" fillId="0" borderId="44" xfId="0" applyFont="1" applyBorder="1"/>
    <xf numFmtId="0" fontId="25" fillId="0" borderId="46" xfId="0" applyFont="1" applyBorder="1" applyAlignment="1">
      <alignment horizontal="left"/>
    </xf>
    <xf numFmtId="0" fontId="25" fillId="0" borderId="46" xfId="0" applyFont="1" applyBorder="1"/>
    <xf numFmtId="0" fontId="25" fillId="0" borderId="45" xfId="0" applyFont="1" applyBorder="1"/>
    <xf numFmtId="0" fontId="25" fillId="0" borderId="22" xfId="0" applyFont="1" applyBorder="1" applyAlignment="1">
      <alignment horizontal="left"/>
    </xf>
    <xf numFmtId="0" fontId="25" fillId="0" borderId="24" xfId="0" applyFont="1" applyBorder="1" applyAlignment="1">
      <alignment horizontal="left"/>
    </xf>
    <xf numFmtId="0" fontId="25" fillId="0" borderId="26" xfId="0" applyFont="1" applyBorder="1" applyAlignment="1">
      <alignment horizontal="left"/>
    </xf>
    <xf numFmtId="0" fontId="25" fillId="0" borderId="28" xfId="0" applyFont="1" applyBorder="1" applyAlignment="1">
      <alignment horizontal="left"/>
    </xf>
    <xf numFmtId="0" fontId="25" fillId="0" borderId="29" xfId="0" applyFont="1" applyBorder="1" applyAlignment="1">
      <alignment horizontal="left"/>
    </xf>
    <xf numFmtId="0" fontId="10" fillId="0" borderId="0" xfId="0" applyFont="1" applyBorder="1" applyAlignment="1"/>
    <xf numFmtId="0" fontId="11" fillId="12" borderId="21" xfId="4" applyFont="1" applyFill="1" applyBorder="1" applyAlignment="1">
      <alignment horizontal="center"/>
    </xf>
    <xf numFmtId="0" fontId="0" fillId="11" borderId="22" xfId="0" applyFill="1" applyBorder="1" applyAlignment="1">
      <alignment horizontal="center"/>
    </xf>
    <xf numFmtId="0" fontId="0" fillId="11" borderId="23" xfId="0" applyNumberFormat="1" applyFill="1" applyBorder="1"/>
    <xf numFmtId="0" fontId="0" fillId="11" borderId="23" xfId="7" applyNumberFormat="1" applyFont="1" applyFill="1" applyBorder="1"/>
    <xf numFmtId="0" fontId="0" fillId="11" borderId="25" xfId="0" applyFill="1" applyBorder="1" applyAlignment="1">
      <alignment horizontal="center"/>
    </xf>
    <xf numFmtId="0" fontId="0" fillId="11" borderId="16" xfId="0" applyNumberFormat="1" applyFill="1" applyBorder="1"/>
    <xf numFmtId="0" fontId="0" fillId="11" borderId="16" xfId="7" applyNumberFormat="1" applyFont="1" applyFill="1" applyBorder="1"/>
    <xf numFmtId="0" fontId="0" fillId="11" borderId="27" xfId="0" applyFill="1" applyBorder="1" applyAlignment="1">
      <alignment horizontal="center"/>
    </xf>
    <xf numFmtId="0" fontId="0" fillId="11" borderId="47" xfId="0" applyNumberFormat="1" applyFill="1" applyBorder="1"/>
    <xf numFmtId="0" fontId="0" fillId="11" borderId="47" xfId="7" applyNumberFormat="1" applyFont="1" applyFill="1" applyBorder="1"/>
    <xf numFmtId="168" fontId="0" fillId="11" borderId="74" xfId="7" applyNumberFormat="1" applyFont="1" applyFill="1" applyBorder="1"/>
    <xf numFmtId="168" fontId="0" fillId="11" borderId="11" xfId="7" applyNumberFormat="1" applyFont="1" applyFill="1" applyBorder="1"/>
    <xf numFmtId="168" fontId="0" fillId="11" borderId="62" xfId="7" applyNumberFormat="1" applyFont="1" applyFill="1" applyBorder="1"/>
    <xf numFmtId="10" fontId="10" fillId="0" borderId="73" xfId="7" applyNumberFormat="1" applyFont="1" applyFill="1" applyBorder="1"/>
    <xf numFmtId="0" fontId="10" fillId="0" borderId="44" xfId="0" applyFont="1" applyBorder="1" applyAlignment="1">
      <alignment horizontal="center"/>
    </xf>
    <xf numFmtId="168" fontId="10" fillId="0" borderId="46" xfId="0" applyNumberFormat="1" applyFont="1" applyFill="1" applyBorder="1"/>
    <xf numFmtId="0" fontId="10" fillId="0" borderId="46" xfId="0" applyFont="1" applyBorder="1"/>
    <xf numFmtId="10" fontId="10" fillId="0" borderId="46" xfId="7" applyNumberFormat="1" applyFont="1" applyFill="1" applyBorder="1"/>
    <xf numFmtId="168" fontId="0" fillId="14" borderId="65" xfId="7" applyNumberFormat="1" applyFont="1" applyFill="1" applyBorder="1"/>
    <xf numFmtId="168" fontId="0" fillId="14" borderId="67" xfId="7" applyNumberFormat="1" applyFont="1" applyFill="1" applyBorder="1"/>
    <xf numFmtId="168" fontId="0" fillId="14" borderId="64" xfId="7" applyNumberFormat="1" applyFont="1" applyFill="1" applyBorder="1"/>
    <xf numFmtId="0" fontId="10" fillId="0" borderId="37" xfId="0" applyFont="1" applyBorder="1"/>
    <xf numFmtId="9" fontId="0" fillId="11" borderId="14" xfId="0" applyNumberFormat="1" applyFill="1" applyBorder="1"/>
    <xf numFmtId="0" fontId="0" fillId="0" borderId="13" xfId="0" applyBorder="1"/>
    <xf numFmtId="0" fontId="0" fillId="0" borderId="58" xfId="0" applyBorder="1"/>
    <xf numFmtId="9" fontId="0" fillId="11" borderId="21" xfId="0" applyNumberFormat="1" applyFill="1" applyBorder="1" applyAlignment="1">
      <alignment horizontal="center" vertical="center"/>
    </xf>
    <xf numFmtId="0" fontId="0" fillId="0" borderId="37" xfId="0" applyBorder="1"/>
    <xf numFmtId="0" fontId="0" fillId="0" borderId="39" xfId="0" applyBorder="1"/>
    <xf numFmtId="9" fontId="0" fillId="11" borderId="16" xfId="0" applyNumberFormat="1" applyFill="1" applyBorder="1" applyAlignment="1">
      <alignment horizontal="center" vertical="center"/>
    </xf>
    <xf numFmtId="0" fontId="11" fillId="14" borderId="21" xfId="4" applyFont="1" applyFill="1" applyBorder="1" applyAlignment="1">
      <alignment horizontal="center"/>
    </xf>
    <xf numFmtId="2" fontId="11" fillId="14" borderId="21" xfId="4" applyNumberFormat="1" applyFont="1" applyFill="1" applyBorder="1" applyAlignment="1">
      <alignment horizontal="center"/>
    </xf>
    <xf numFmtId="10" fontId="11" fillId="14" borderId="28" xfId="4" applyNumberFormat="1" applyFont="1" applyFill="1" applyBorder="1" applyAlignment="1">
      <alignment horizontal="center"/>
    </xf>
    <xf numFmtId="2" fontId="11" fillId="14" borderId="23" xfId="5" applyNumberFormat="1" applyFont="1" applyFill="1" applyBorder="1" applyAlignment="1">
      <alignment horizontal="center"/>
    </xf>
    <xf numFmtId="164" fontId="11" fillId="14" borderId="14" xfId="5" applyNumberFormat="1" applyFont="1" applyFill="1" applyBorder="1" applyAlignment="1">
      <alignment horizontal="center"/>
    </xf>
    <xf numFmtId="164" fontId="11" fillId="14" borderId="21" xfId="5" applyNumberFormat="1" applyFont="1" applyFill="1" applyBorder="1" applyAlignment="1">
      <alignment horizontal="center"/>
    </xf>
    <xf numFmtId="2" fontId="11" fillId="14" borderId="21" xfId="5" applyNumberFormat="1" applyFont="1" applyFill="1" applyBorder="1" applyAlignment="1">
      <alignment horizontal="center"/>
    </xf>
    <xf numFmtId="0" fontId="11" fillId="14" borderId="23" xfId="4" applyFont="1" applyFill="1" applyBorder="1" applyAlignment="1">
      <alignment horizontal="center"/>
    </xf>
    <xf numFmtId="0" fontId="11" fillId="14" borderId="21" xfId="4" applyFont="1" applyFill="1" applyBorder="1" applyAlignment="1">
      <alignment horizontal="center" vertical="center"/>
    </xf>
    <xf numFmtId="10" fontId="11" fillId="14" borderId="21" xfId="4" applyNumberFormat="1" applyFont="1" applyFill="1" applyBorder="1" applyAlignment="1">
      <alignment horizontal="center"/>
    </xf>
    <xf numFmtId="2" fontId="11" fillId="14" borderId="21" xfId="7" applyNumberFormat="1" applyFont="1" applyFill="1" applyBorder="1" applyAlignment="1">
      <alignment horizontal="center"/>
    </xf>
    <xf numFmtId="0" fontId="11" fillId="14" borderId="28" xfId="0" applyNumberFormat="1" applyFont="1" applyFill="1" applyBorder="1" applyAlignment="1">
      <alignment horizontal="center" vertical="center"/>
    </xf>
    <xf numFmtId="164" fontId="11" fillId="14" borderId="21" xfId="4" applyNumberFormat="1" applyFont="1" applyFill="1" applyBorder="1" applyAlignment="1">
      <alignment horizontal="center"/>
    </xf>
    <xf numFmtId="9" fontId="11" fillId="14" borderId="21" xfId="7" applyFont="1" applyFill="1" applyBorder="1" applyAlignment="1">
      <alignment horizontal="center"/>
    </xf>
    <xf numFmtId="2" fontId="11" fillId="14" borderId="28" xfId="4" applyNumberFormat="1" applyFont="1" applyFill="1" applyBorder="1" applyAlignment="1">
      <alignment horizontal="center"/>
    </xf>
    <xf numFmtId="1" fontId="11" fillId="14" borderId="21" xfId="4" applyNumberFormat="1" applyFont="1" applyFill="1" applyBorder="1" applyAlignment="1">
      <alignment horizontal="center"/>
    </xf>
    <xf numFmtId="0" fontId="11" fillId="14" borderId="14" xfId="4" applyFont="1" applyFill="1" applyBorder="1" applyAlignment="1">
      <alignment horizontal="center"/>
    </xf>
    <xf numFmtId="9" fontId="11" fillId="14" borderId="21" xfId="4" applyNumberFormat="1" applyFont="1" applyFill="1" applyBorder="1" applyAlignment="1">
      <alignment horizontal="center"/>
    </xf>
    <xf numFmtId="0" fontId="11" fillId="14" borderId="21" xfId="5" applyFont="1" applyFill="1" applyBorder="1" applyAlignment="1">
      <alignment horizontal="center"/>
    </xf>
    <xf numFmtId="10" fontId="11" fillId="14" borderId="16" xfId="4" applyNumberFormat="1" applyFont="1" applyFill="1" applyBorder="1" applyAlignment="1">
      <alignment horizontal="center"/>
    </xf>
    <xf numFmtId="0" fontId="11" fillId="14" borderId="28" xfId="5" applyFont="1" applyFill="1" applyBorder="1" applyAlignment="1">
      <alignment horizontal="center"/>
    </xf>
    <xf numFmtId="0" fontId="11" fillId="14" borderId="28" xfId="4" applyFont="1" applyFill="1" applyBorder="1" applyAlignment="1">
      <alignment horizontal="center"/>
    </xf>
    <xf numFmtId="2" fontId="11" fillId="14" borderId="21" xfId="0" applyNumberFormat="1" applyFont="1" applyFill="1" applyBorder="1" applyAlignment="1">
      <alignment horizontal="center"/>
    </xf>
    <xf numFmtId="2" fontId="11" fillId="14" borderId="28" xfId="0" applyNumberFormat="1" applyFont="1" applyFill="1" applyBorder="1" applyAlignment="1">
      <alignment horizontal="center"/>
    </xf>
    <xf numFmtId="0" fontId="11" fillId="14" borderId="21" xfId="0" applyFont="1" applyFill="1" applyBorder="1" applyAlignment="1">
      <alignment horizontal="center"/>
    </xf>
    <xf numFmtId="0" fontId="11" fillId="14" borderId="21" xfId="5" applyNumberFormat="1" applyFont="1" applyFill="1" applyBorder="1" applyAlignment="1">
      <alignment horizontal="center"/>
    </xf>
    <xf numFmtId="0" fontId="11" fillId="14" borderId="23" xfId="5" applyFont="1" applyFill="1" applyBorder="1" applyAlignment="1">
      <alignment horizontal="center"/>
    </xf>
    <xf numFmtId="0" fontId="0" fillId="11" borderId="0" xfId="0" applyFill="1" applyAlignment="1">
      <alignment wrapText="1"/>
    </xf>
    <xf numFmtId="0" fontId="0" fillId="11" borderId="0" xfId="0" applyFill="1" applyAlignment="1">
      <alignment horizontal="center" wrapText="1"/>
    </xf>
    <xf numFmtId="0" fontId="0" fillId="11" borderId="0" xfId="0" applyFill="1" applyAlignment="1">
      <alignment vertical="top" wrapText="1"/>
    </xf>
    <xf numFmtId="0" fontId="0" fillId="11" borderId="0" xfId="0" applyFill="1" applyAlignment="1">
      <alignment horizontal="center" vertical="top" wrapText="1"/>
    </xf>
    <xf numFmtId="0" fontId="0" fillId="11" borderId="0" xfId="0" applyFill="1"/>
    <xf numFmtId="0" fontId="0" fillId="11" borderId="0" xfId="0" applyFill="1" applyAlignment="1">
      <alignment horizontal="center"/>
    </xf>
    <xf numFmtId="0" fontId="0" fillId="0" borderId="23" xfId="0" applyFont="1" applyBorder="1"/>
    <xf numFmtId="0" fontId="20" fillId="0" borderId="23" xfId="19" applyFont="1" applyBorder="1"/>
    <xf numFmtId="0" fontId="0" fillId="0" borderId="24" xfId="0" applyFont="1" applyBorder="1"/>
    <xf numFmtId="0" fontId="0" fillId="0" borderId="21" xfId="0" applyFont="1" applyBorder="1"/>
    <xf numFmtId="0" fontId="20" fillId="0" borderId="21" xfId="19" applyFont="1" applyBorder="1"/>
    <xf numFmtId="0" fontId="0" fillId="0" borderId="26" xfId="0" applyFont="1" applyBorder="1"/>
    <xf numFmtId="0" fontId="0" fillId="0" borderId="28" xfId="0" applyFont="1" applyBorder="1"/>
    <xf numFmtId="0" fontId="20" fillId="0" borderId="28" xfId="19" applyFont="1" applyBorder="1"/>
    <xf numFmtId="0" fontId="0" fillId="0" borderId="0" xfId="0" applyFont="1" applyAlignment="1">
      <alignment horizontal="center"/>
    </xf>
    <xf numFmtId="0" fontId="0" fillId="0" borderId="28" xfId="0" applyFont="1" applyBorder="1" applyAlignment="1">
      <alignment horizontal="center" vertical="center"/>
    </xf>
    <xf numFmtId="0" fontId="0" fillId="0" borderId="29" xfId="0" applyFont="1" applyBorder="1"/>
    <xf numFmtId="0" fontId="0" fillId="0" borderId="17" xfId="0" applyFont="1" applyFill="1" applyBorder="1"/>
    <xf numFmtId="0" fontId="20" fillId="0" borderId="21" xfId="19" quotePrefix="1" applyFont="1" applyBorder="1"/>
    <xf numFmtId="0" fontId="0" fillId="0" borderId="21" xfId="0" applyFont="1" applyBorder="1" applyAlignment="1">
      <alignment horizontal="center" vertical="center"/>
    </xf>
    <xf numFmtId="0" fontId="11" fillId="0" borderId="22" xfId="0" applyFont="1" applyBorder="1"/>
    <xf numFmtId="164" fontId="11" fillId="15" borderId="46" xfId="5" applyNumberFormat="1" applyFont="1" applyFill="1" applyBorder="1" applyAlignment="1">
      <alignment horizontal="center"/>
    </xf>
    <xf numFmtId="164" fontId="11" fillId="15" borderId="14" xfId="5" applyNumberFormat="1" applyFont="1" applyFill="1" applyBorder="1" applyAlignment="1">
      <alignment horizontal="center"/>
    </xf>
    <xf numFmtId="164" fontId="11" fillId="15" borderId="21" xfId="5" applyNumberFormat="1" applyFont="1" applyFill="1" applyBorder="1" applyAlignment="1">
      <alignment horizontal="center"/>
    </xf>
    <xf numFmtId="0" fontId="11" fillId="15" borderId="21" xfId="4" applyNumberFormat="1" applyFont="1" applyFill="1" applyBorder="1" applyAlignment="1">
      <alignment horizontal="center"/>
    </xf>
    <xf numFmtId="0" fontId="11" fillId="11" borderId="21" xfId="4" applyFont="1" applyFill="1" applyBorder="1" applyAlignment="1">
      <alignment horizontal="center"/>
    </xf>
    <xf numFmtId="0" fontId="11" fillId="0" borderId="27" xfId="0" applyFont="1" applyBorder="1"/>
    <xf numFmtId="9" fontId="11" fillId="15" borderId="28" xfId="7" applyFont="1" applyFill="1" applyBorder="1" applyAlignment="1">
      <alignment horizontal="center"/>
    </xf>
    <xf numFmtId="0" fontId="11" fillId="11" borderId="23" xfId="4" applyFont="1" applyFill="1" applyBorder="1" applyAlignment="1">
      <alignment horizontal="center"/>
    </xf>
    <xf numFmtId="0" fontId="11" fillId="0" borderId="27" xfId="0" applyFont="1" applyBorder="1" applyAlignment="1">
      <alignment horizontal="left"/>
    </xf>
    <xf numFmtId="0" fontId="11" fillId="11" borderId="28" xfId="4" applyFont="1" applyFill="1" applyBorder="1" applyAlignment="1">
      <alignment horizontal="center" vertical="center"/>
    </xf>
    <xf numFmtId="0" fontId="11" fillId="0" borderId="28" xfId="0" applyFont="1" applyBorder="1" applyAlignment="1">
      <alignment wrapText="1"/>
    </xf>
    <xf numFmtId="0" fontId="11" fillId="15" borderId="21" xfId="4" applyFont="1" applyFill="1" applyBorder="1" applyAlignment="1">
      <alignment horizontal="center"/>
    </xf>
    <xf numFmtId="1" fontId="11" fillId="12" borderId="21" xfId="4" applyNumberFormat="1" applyFont="1" applyFill="1" applyBorder="1" applyAlignment="1">
      <alignment horizontal="center"/>
    </xf>
    <xf numFmtId="9" fontId="11" fillId="12" borderId="21" xfId="4" applyNumberFormat="1" applyFont="1" applyFill="1" applyBorder="1" applyAlignment="1">
      <alignment horizontal="center"/>
    </xf>
    <xf numFmtId="0" fontId="11" fillId="11" borderId="28" xfId="4" applyFont="1" applyFill="1" applyBorder="1" applyAlignment="1">
      <alignment horizontal="center"/>
    </xf>
    <xf numFmtId="0" fontId="11" fillId="16" borderId="23" xfId="4" applyFont="1" applyFill="1" applyBorder="1" applyAlignment="1">
      <alignment horizontal="center"/>
    </xf>
    <xf numFmtId="10" fontId="11" fillId="16" borderId="21" xfId="4" applyNumberFormat="1" applyFont="1" applyFill="1" applyBorder="1" applyAlignment="1">
      <alignment horizontal="center"/>
    </xf>
    <xf numFmtId="10" fontId="11" fillId="11" borderId="21" xfId="4" applyNumberFormat="1" applyFont="1" applyFill="1" applyBorder="1" applyAlignment="1">
      <alignment horizontal="center"/>
    </xf>
    <xf numFmtId="9" fontId="11" fillId="15" borderId="21" xfId="4" applyNumberFormat="1" applyFont="1" applyFill="1" applyBorder="1" applyAlignment="1">
      <alignment horizontal="center"/>
    </xf>
    <xf numFmtId="10" fontId="11" fillId="15" borderId="21" xfId="4" applyNumberFormat="1" applyFont="1" applyFill="1" applyBorder="1" applyAlignment="1">
      <alignment horizontal="center"/>
    </xf>
    <xf numFmtId="2" fontId="11" fillId="15" borderId="21" xfId="5" applyNumberFormat="1" applyFont="1" applyFill="1" applyBorder="1" applyAlignment="1">
      <alignment horizontal="center"/>
    </xf>
    <xf numFmtId="0" fontId="11" fillId="15" borderId="21" xfId="5" applyFont="1" applyFill="1" applyBorder="1" applyAlignment="1">
      <alignment horizontal="center"/>
    </xf>
    <xf numFmtId="10" fontId="11" fillId="11" borderId="16" xfId="4" applyNumberFormat="1" applyFont="1" applyFill="1" applyBorder="1" applyAlignment="1">
      <alignment horizontal="center"/>
    </xf>
    <xf numFmtId="0" fontId="11" fillId="0" borderId="27" xfId="0" applyFont="1" applyBorder="1" applyAlignment="1">
      <alignment vertical="center"/>
    </xf>
    <xf numFmtId="0" fontId="11" fillId="15" borderId="28" xfId="5" applyFont="1" applyFill="1" applyBorder="1" applyAlignment="1">
      <alignment horizontal="center"/>
    </xf>
    <xf numFmtId="0" fontId="11" fillId="16" borderId="21" xfId="4" applyFont="1" applyFill="1" applyBorder="1" applyAlignment="1">
      <alignment horizontal="center"/>
    </xf>
    <xf numFmtId="0" fontId="11" fillId="16" borderId="28" xfId="4" applyFont="1" applyFill="1" applyBorder="1" applyAlignment="1">
      <alignment horizontal="center"/>
    </xf>
    <xf numFmtId="0" fontId="11" fillId="0" borderId="22" xfId="0" applyFont="1" applyBorder="1" applyAlignment="1">
      <alignment vertical="center"/>
    </xf>
    <xf numFmtId="0" fontId="11" fillId="15" borderId="23" xfId="5" applyFont="1" applyFill="1" applyBorder="1" applyAlignment="1">
      <alignment horizontal="center"/>
    </xf>
    <xf numFmtId="164" fontId="11" fillId="11" borderId="21" xfId="5" applyNumberFormat="1" applyFont="1" applyFill="1" applyBorder="1" applyAlignment="1">
      <alignment horizontal="center"/>
    </xf>
    <xf numFmtId="0" fontId="11" fillId="0" borderId="25" xfId="0" applyFont="1" applyFill="1" applyBorder="1"/>
    <xf numFmtId="0" fontId="11" fillId="11" borderId="21" xfId="0" applyFont="1" applyFill="1" applyBorder="1" applyAlignment="1">
      <alignment horizontal="center" vertical="center"/>
    </xf>
    <xf numFmtId="9" fontId="11" fillId="11" borderId="21" xfId="7" applyFont="1" applyFill="1" applyBorder="1" applyAlignment="1">
      <alignment horizontal="center"/>
    </xf>
    <xf numFmtId="0" fontId="11" fillId="11" borderId="21" xfId="5" applyNumberFormat="1" applyFont="1" applyFill="1" applyBorder="1" applyAlignment="1">
      <alignment horizontal="center"/>
    </xf>
    <xf numFmtId="0" fontId="11" fillId="0" borderId="27" xfId="0" applyFont="1" applyFill="1" applyBorder="1"/>
    <xf numFmtId="0" fontId="11" fillId="11" borderId="28" xfId="5" applyNumberFormat="1" applyFont="1" applyFill="1" applyBorder="1" applyAlignment="1">
      <alignment horizontal="center"/>
    </xf>
    <xf numFmtId="0" fontId="15" fillId="0" borderId="49" xfId="8" applyFill="1"/>
    <xf numFmtId="0" fontId="15" fillId="0" borderId="49" xfId="8" applyBorder="1"/>
    <xf numFmtId="9" fontId="10" fillId="14" borderId="37" xfId="0" applyNumberFormat="1" applyFont="1" applyFill="1" applyBorder="1"/>
    <xf numFmtId="0" fontId="21" fillId="0" borderId="62" xfId="0" applyFont="1" applyBorder="1" applyAlignment="1"/>
    <xf numFmtId="9" fontId="0" fillId="14" borderId="16" xfId="0" applyNumberFormat="1" applyFill="1" applyBorder="1"/>
    <xf numFmtId="0" fontId="10" fillId="0" borderId="62" xfId="0" applyFont="1" applyBorder="1" applyAlignment="1">
      <alignment wrapText="1"/>
    </xf>
    <xf numFmtId="0" fontId="0" fillId="11" borderId="11" xfId="0" applyFill="1" applyBorder="1"/>
    <xf numFmtId="0" fontId="0" fillId="11" borderId="38" xfId="0" applyFill="1" applyBorder="1"/>
    <xf numFmtId="0" fontId="0" fillId="11" borderId="6" xfId="0" applyFill="1" applyBorder="1"/>
    <xf numFmtId="0" fontId="10" fillId="0" borderId="88" xfId="0" applyFont="1" applyBorder="1" applyAlignment="1">
      <alignment wrapText="1"/>
    </xf>
    <xf numFmtId="0" fontId="0" fillId="11" borderId="13" xfId="0" applyFill="1" applyBorder="1"/>
    <xf numFmtId="0" fontId="10" fillId="0" borderId="34" xfId="0" applyFont="1" applyBorder="1" applyAlignment="1">
      <alignment wrapText="1"/>
    </xf>
    <xf numFmtId="0" fontId="10" fillId="0" borderId="35" xfId="0" applyFont="1" applyBorder="1" applyAlignment="1">
      <alignment wrapText="1"/>
    </xf>
    <xf numFmtId="0" fontId="10" fillId="0" borderId="36" xfId="0" applyFont="1" applyBorder="1" applyAlignment="1">
      <alignment wrapText="1"/>
    </xf>
    <xf numFmtId="9" fontId="0" fillId="11" borderId="33" xfId="0" applyNumberFormat="1" applyFill="1" applyBorder="1"/>
    <xf numFmtId="9" fontId="0" fillId="14" borderId="32" xfId="7" applyFont="1" applyFill="1" applyBorder="1"/>
    <xf numFmtId="9" fontId="0" fillId="11" borderId="25" xfId="0" applyNumberFormat="1" applyFill="1" applyBorder="1"/>
    <xf numFmtId="0" fontId="0" fillId="11" borderId="25" xfId="0" applyFill="1" applyBorder="1"/>
    <xf numFmtId="0" fontId="0" fillId="11" borderId="27" xfId="0" applyFill="1" applyBorder="1"/>
    <xf numFmtId="9" fontId="0" fillId="14" borderId="47" xfId="0" applyNumberFormat="1" applyFill="1" applyBorder="1"/>
    <xf numFmtId="9" fontId="0" fillId="14" borderId="47" xfId="7" applyFont="1" applyFill="1" applyBorder="1"/>
    <xf numFmtId="9" fontId="0" fillId="14" borderId="48" xfId="7" applyFont="1" applyFill="1" applyBorder="1"/>
    <xf numFmtId="0" fontId="0" fillId="0" borderId="19" xfId="0" applyBorder="1" applyAlignment="1"/>
    <xf numFmtId="0" fontId="0" fillId="0" borderId="39" xfId="0" applyBorder="1" applyAlignment="1"/>
    <xf numFmtId="10" fontId="0" fillId="14" borderId="13" xfId="7" applyNumberFormat="1" applyFont="1" applyFill="1" applyBorder="1"/>
    <xf numFmtId="43" fontId="0" fillId="14" borderId="16" xfId="20" applyFont="1" applyFill="1" applyBorder="1"/>
    <xf numFmtId="10" fontId="0" fillId="14" borderId="16" xfId="7" applyNumberFormat="1" applyFont="1" applyFill="1" applyBorder="1"/>
    <xf numFmtId="10" fontId="0" fillId="14" borderId="11" xfId="7" applyNumberFormat="1" applyFont="1" applyFill="1" applyBorder="1"/>
    <xf numFmtId="10" fontId="0" fillId="14" borderId="33" xfId="7" applyNumberFormat="1" applyFont="1" applyFill="1" applyBorder="1"/>
    <xf numFmtId="10" fontId="0" fillId="14" borderId="32" xfId="7" applyNumberFormat="1" applyFont="1" applyFill="1" applyBorder="1"/>
    <xf numFmtId="10" fontId="0" fillId="14" borderId="58" xfId="7" applyNumberFormat="1" applyFont="1" applyFill="1" applyBorder="1"/>
    <xf numFmtId="43" fontId="0" fillId="14" borderId="21" xfId="20" applyFont="1" applyFill="1" applyBorder="1"/>
    <xf numFmtId="10" fontId="0" fillId="14" borderId="21" xfId="7" applyNumberFormat="1" applyFont="1" applyFill="1" applyBorder="1"/>
    <xf numFmtId="10" fontId="0" fillId="14" borderId="38" xfId="7" applyNumberFormat="1" applyFont="1" applyFill="1" applyBorder="1"/>
    <xf numFmtId="10" fontId="0" fillId="14" borderId="25" xfId="7" applyNumberFormat="1" applyFont="1" applyFill="1" applyBorder="1"/>
    <xf numFmtId="10" fontId="0" fillId="14" borderId="26" xfId="7" applyNumberFormat="1" applyFont="1" applyFill="1" applyBorder="1"/>
    <xf numFmtId="10" fontId="0" fillId="14" borderId="72" xfId="7" applyNumberFormat="1" applyFont="1" applyFill="1" applyBorder="1"/>
    <xf numFmtId="43" fontId="0" fillId="14" borderId="28" xfId="20" applyFont="1" applyFill="1" applyBorder="1"/>
    <xf numFmtId="10" fontId="0" fillId="14" borderId="28" xfId="7" applyNumberFormat="1" applyFont="1" applyFill="1" applyBorder="1"/>
    <xf numFmtId="10" fontId="0" fillId="14" borderId="75" xfId="7" applyNumberFormat="1" applyFont="1" applyFill="1" applyBorder="1"/>
    <xf numFmtId="10" fontId="0" fillId="14" borderId="27" xfId="7" applyNumberFormat="1" applyFont="1" applyFill="1" applyBorder="1"/>
    <xf numFmtId="10" fontId="0" fillId="14" borderId="29" xfId="7" applyNumberFormat="1" applyFont="1" applyFill="1" applyBorder="1"/>
    <xf numFmtId="0" fontId="0" fillId="0" borderId="14" xfId="0" applyBorder="1" applyAlignment="1" applyProtection="1">
      <alignment horizontal="center" vertical="center"/>
      <protection hidden="1"/>
    </xf>
    <xf numFmtId="0" fontId="0" fillId="0" borderId="0" xfId="0" applyFill="1" applyAlignment="1">
      <alignment wrapText="1"/>
    </xf>
    <xf numFmtId="176" fontId="44" fillId="32" borderId="10" xfId="0" applyNumberFormat="1" applyFont="1" applyFill="1" applyBorder="1" applyAlignment="1" applyProtection="1">
      <alignment horizontal="center" vertical="center"/>
      <protection locked="0"/>
    </xf>
    <xf numFmtId="0" fontId="0" fillId="0" borderId="0" xfId="0" applyBorder="1" applyAlignment="1" applyProtection="1">
      <alignment horizontal="center" vertical="center"/>
      <protection hidden="1"/>
    </xf>
    <xf numFmtId="41" fontId="0" fillId="14" borderId="6" xfId="0" applyNumberFormat="1" applyFill="1" applyBorder="1" applyAlignment="1" applyProtection="1">
      <alignment vertical="center"/>
      <protection hidden="1"/>
    </xf>
    <xf numFmtId="41" fontId="0" fillId="14" borderId="7" xfId="0" applyNumberFormat="1" applyFill="1" applyBorder="1" applyAlignment="1" applyProtection="1">
      <alignment vertical="center"/>
      <protection hidden="1"/>
    </xf>
    <xf numFmtId="41" fontId="0" fillId="14" borderId="8" xfId="0" applyNumberFormat="1" applyFill="1" applyBorder="1" applyAlignment="1" applyProtection="1">
      <alignment vertical="center"/>
      <protection hidden="1"/>
    </xf>
    <xf numFmtId="177" fontId="0" fillId="14" borderId="11" xfId="0" applyNumberFormat="1" applyFill="1" applyBorder="1" applyAlignment="1" applyProtection="1">
      <alignment vertical="center"/>
      <protection hidden="1"/>
    </xf>
    <xf numFmtId="177" fontId="0" fillId="14" borderId="12" xfId="0" applyNumberFormat="1" applyFill="1" applyBorder="1" applyAlignment="1" applyProtection="1">
      <alignment vertical="center"/>
      <protection hidden="1"/>
    </xf>
    <xf numFmtId="177" fontId="0" fillId="14" borderId="13" xfId="0" applyNumberFormat="1" applyFill="1" applyBorder="1" applyAlignment="1" applyProtection="1">
      <alignment vertical="center"/>
      <protection hidden="1"/>
    </xf>
    <xf numFmtId="0" fontId="0" fillId="0" borderId="0" xfId="0" applyFill="1" applyAlignment="1" applyProtection="1">
      <alignment vertical="center"/>
      <protection hidden="1"/>
    </xf>
    <xf numFmtId="0" fontId="0" fillId="0" borderId="0" xfId="0" applyFill="1" applyBorder="1" applyAlignment="1" applyProtection="1">
      <alignment vertical="center"/>
      <protection hidden="1"/>
    </xf>
    <xf numFmtId="41" fontId="11" fillId="0" borderId="0" xfId="0" applyNumberFormat="1" applyFont="1" applyFill="1" applyBorder="1" applyAlignment="1" applyProtection="1">
      <alignment vertical="center"/>
      <protection hidden="1"/>
    </xf>
    <xf numFmtId="0" fontId="10" fillId="0" borderId="0" xfId="0" applyFont="1" applyAlignment="1" applyProtection="1">
      <alignment vertical="center"/>
      <protection hidden="1"/>
    </xf>
    <xf numFmtId="0" fontId="45" fillId="14" borderId="21" xfId="0" applyNumberFormat="1" applyFont="1" applyFill="1" applyBorder="1" applyAlignment="1" applyProtection="1">
      <alignment horizontal="center" vertical="center"/>
      <protection hidden="1"/>
    </xf>
    <xf numFmtId="41" fontId="11" fillId="15" borderId="21" xfId="4" applyNumberFormat="1" applyFont="1" applyFill="1" applyBorder="1" applyAlignment="1">
      <alignment horizontal="center"/>
    </xf>
    <xf numFmtId="9" fontId="0" fillId="0" borderId="0" xfId="0" applyNumberFormat="1" applyAlignment="1">
      <alignment horizontal="right"/>
    </xf>
    <xf numFmtId="10" fontId="44" fillId="14" borderId="21" xfId="31" applyNumberFormat="1" applyFont="1" applyFill="1" applyBorder="1" applyAlignment="1" applyProtection="1">
      <alignment horizontal="center" vertical="center"/>
      <protection hidden="1"/>
    </xf>
    <xf numFmtId="0" fontId="44" fillId="0" borderId="0" xfId="0" applyFont="1" applyFill="1" applyBorder="1" applyAlignment="1" applyProtection="1">
      <alignment horizontal="center" vertical="center"/>
      <protection hidden="1"/>
    </xf>
    <xf numFmtId="0" fontId="44" fillId="0" borderId="0" xfId="0" quotePrefix="1" applyFont="1" applyFill="1" applyBorder="1" applyAlignment="1" applyProtection="1">
      <alignment horizontal="center" vertical="center"/>
      <protection hidden="1"/>
    </xf>
    <xf numFmtId="10" fontId="0" fillId="0" borderId="0" xfId="0" applyNumberFormat="1" applyFill="1" applyBorder="1" applyAlignment="1" applyProtection="1">
      <alignment horizontal="center" vertical="center"/>
      <protection hidden="1"/>
    </xf>
    <xf numFmtId="0" fontId="10" fillId="0" borderId="18" xfId="0" applyFont="1" applyBorder="1" applyAlignment="1">
      <alignment horizontal="center"/>
    </xf>
    <xf numFmtId="0" fontId="10" fillId="0" borderId="20" xfId="0" applyFont="1" applyBorder="1" applyAlignment="1">
      <alignment horizontal="center"/>
    </xf>
    <xf numFmtId="0" fontId="10" fillId="0" borderId="41" xfId="0" applyFont="1" applyBorder="1" applyAlignment="1">
      <alignment horizontal="center"/>
    </xf>
    <xf numFmtId="0" fontId="10" fillId="0" borderId="42" xfId="0" applyFont="1" applyBorder="1" applyAlignment="1">
      <alignment horizontal="center"/>
    </xf>
    <xf numFmtId="0" fontId="10" fillId="0" borderId="43" xfId="0" applyFont="1" applyBorder="1" applyAlignment="1">
      <alignment horizontal="center"/>
    </xf>
    <xf numFmtId="0" fontId="10" fillId="0" borderId="59" xfId="0" applyFont="1" applyBorder="1" applyAlignment="1">
      <alignment horizontal="center"/>
    </xf>
    <xf numFmtId="0" fontId="10" fillId="0" borderId="60" xfId="0" applyFont="1" applyBorder="1" applyAlignment="1">
      <alignment horizontal="center"/>
    </xf>
    <xf numFmtId="0" fontId="10" fillId="0" borderId="61" xfId="0" applyFont="1" applyBorder="1" applyAlignment="1">
      <alignment horizontal="center"/>
    </xf>
    <xf numFmtId="0" fontId="0" fillId="11" borderId="37" xfId="0" applyFill="1" applyBorder="1" applyAlignment="1">
      <alignment horizontal="left" wrapText="1"/>
    </xf>
    <xf numFmtId="0" fontId="0" fillId="11" borderId="20" xfId="0" applyFill="1" applyBorder="1" applyAlignment="1">
      <alignment horizontal="left" wrapText="1"/>
    </xf>
    <xf numFmtId="0" fontId="10" fillId="0" borderId="19" xfId="0" applyFont="1" applyBorder="1" applyAlignment="1">
      <alignment horizontal="center"/>
    </xf>
    <xf numFmtId="0" fontId="0" fillId="0" borderId="41" xfId="0" applyFont="1" applyBorder="1" applyAlignment="1">
      <alignment horizontal="center"/>
    </xf>
    <xf numFmtId="0" fontId="0" fillId="0" borderId="42" xfId="0" applyFont="1" applyBorder="1" applyAlignment="1">
      <alignment horizontal="center"/>
    </xf>
    <xf numFmtId="0" fontId="0" fillId="0" borderId="43" xfId="0" applyFont="1" applyBorder="1" applyAlignment="1">
      <alignment horizontal="center"/>
    </xf>
    <xf numFmtId="0" fontId="0" fillId="0" borderId="23" xfId="0" applyFont="1" applyBorder="1" applyAlignment="1">
      <alignment horizontal="left" vertical="center"/>
    </xf>
    <xf numFmtId="0" fontId="0" fillId="0" borderId="21" xfId="0" applyFont="1" applyBorder="1" applyAlignment="1">
      <alignment horizontal="left" vertical="center"/>
    </xf>
    <xf numFmtId="0" fontId="0" fillId="0" borderId="28" xfId="0" applyFont="1" applyBorder="1" applyAlignment="1">
      <alignment horizontal="left" vertical="center"/>
    </xf>
    <xf numFmtId="0" fontId="0" fillId="0" borderId="0" xfId="0" applyAlignment="1">
      <alignment horizontal="center"/>
    </xf>
    <xf numFmtId="0" fontId="2" fillId="0" borderId="1" xfId="1" applyAlignment="1">
      <alignment horizontal="center"/>
    </xf>
    <xf numFmtId="0" fontId="11" fillId="0" borderId="0" xfId="0" applyFont="1" applyAlignment="1">
      <alignment horizontal="center"/>
    </xf>
    <xf numFmtId="0" fontId="11" fillId="0" borderId="10" xfId="0" applyFont="1" applyBorder="1" applyAlignment="1">
      <alignment horizontal="center"/>
    </xf>
    <xf numFmtId="0" fontId="0" fillId="0" borderId="10" xfId="0" applyBorder="1" applyAlignment="1">
      <alignment horizontal="center"/>
    </xf>
    <xf numFmtId="10" fontId="10" fillId="0" borderId="41" xfId="7" applyNumberFormat="1" applyFont="1" applyFill="1" applyBorder="1" applyAlignment="1">
      <alignment horizontal="center"/>
    </xf>
    <xf numFmtId="10" fontId="10" fillId="0" borderId="42" xfId="7" applyNumberFormat="1" applyFont="1" applyFill="1" applyBorder="1" applyAlignment="1">
      <alignment horizontal="center"/>
    </xf>
    <xf numFmtId="10" fontId="10" fillId="0" borderId="43" xfId="7" applyNumberFormat="1" applyFont="1" applyFill="1" applyBorder="1" applyAlignment="1">
      <alignment horizontal="center"/>
    </xf>
    <xf numFmtId="0" fontId="0" fillId="0" borderId="0" xfId="0" applyAlignment="1">
      <alignment horizontal="right"/>
    </xf>
    <xf numFmtId="0" fontId="0" fillId="0" borderId="37"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27" fillId="0" borderId="44" xfId="0" applyFont="1" applyBorder="1" applyAlignment="1">
      <alignment horizontal="center" vertical="center" wrapText="1"/>
    </xf>
    <xf numFmtId="0" fontId="27" fillId="0" borderId="53" xfId="0" applyFont="1" applyBorder="1" applyAlignment="1">
      <alignment horizontal="center" vertical="center" wrapText="1"/>
    </xf>
    <xf numFmtId="0" fontId="27" fillId="0" borderId="52" xfId="0" applyFont="1" applyBorder="1" applyAlignment="1">
      <alignment horizontal="center" vertical="center" wrapText="1"/>
    </xf>
    <xf numFmtId="0" fontId="39" fillId="11" borderId="73" xfId="0" applyFont="1" applyFill="1" applyBorder="1" applyAlignment="1">
      <alignment horizontal="center" vertical="center" wrapText="1"/>
    </xf>
    <xf numFmtId="0" fontId="39" fillId="11" borderId="43" xfId="0" applyFont="1" applyFill="1" applyBorder="1" applyAlignment="1">
      <alignment horizontal="center" vertical="center" wrapText="1"/>
    </xf>
    <xf numFmtId="0" fontId="39" fillId="11" borderId="11" xfId="0" applyFont="1" applyFill="1" applyBorder="1" applyAlignment="1">
      <alignment horizontal="center" vertical="center" wrapText="1"/>
    </xf>
    <xf numFmtId="0" fontId="39" fillId="11" borderId="79" xfId="0" applyFont="1" applyFill="1" applyBorder="1" applyAlignment="1">
      <alignment horizontal="center" vertical="center" wrapText="1"/>
    </xf>
    <xf numFmtId="0" fontId="27" fillId="0" borderId="46" xfId="0" applyFont="1" applyBorder="1" applyAlignment="1">
      <alignment horizontal="center" vertical="center"/>
    </xf>
    <xf numFmtId="0" fontId="27" fillId="0" borderId="16" xfId="0" applyFont="1" applyBorder="1" applyAlignment="1">
      <alignment horizontal="center" vertical="center"/>
    </xf>
    <xf numFmtId="0" fontId="27" fillId="11" borderId="75" xfId="0" applyFont="1" applyFill="1" applyBorder="1" applyAlignment="1">
      <alignment horizontal="center" vertical="center"/>
    </xf>
    <xf numFmtId="0" fontId="27" fillId="11" borderId="71" xfId="0" applyFont="1" applyFill="1" applyBorder="1" applyAlignment="1">
      <alignment horizontal="center" vertical="center"/>
    </xf>
    <xf numFmtId="0" fontId="24" fillId="0" borderId="18" xfId="0" applyFont="1" applyBorder="1" applyAlignment="1">
      <alignment horizontal="center"/>
    </xf>
    <xf numFmtId="0" fontId="24" fillId="0" borderId="19" xfId="0" applyFont="1" applyBorder="1" applyAlignment="1">
      <alignment horizontal="center"/>
    </xf>
    <xf numFmtId="0" fontId="24" fillId="0" borderId="42" xfId="0" applyFont="1" applyBorder="1" applyAlignment="1">
      <alignment horizontal="center"/>
    </xf>
    <xf numFmtId="0" fontId="24" fillId="0" borderId="20" xfId="0" applyFont="1" applyBorder="1" applyAlignment="1">
      <alignment horizontal="center"/>
    </xf>
    <xf numFmtId="0" fontId="27" fillId="0" borderId="22" xfId="0" applyFont="1" applyFill="1" applyBorder="1" applyAlignment="1">
      <alignment horizontal="center" vertical="center"/>
    </xf>
    <xf numFmtId="0" fontId="27" fillId="0" borderId="25" xfId="0" applyFont="1" applyFill="1" applyBorder="1" applyAlignment="1">
      <alignment horizontal="center" vertical="center"/>
    </xf>
    <xf numFmtId="0" fontId="27" fillId="0" borderId="27" xfId="0" applyFont="1" applyFill="1" applyBorder="1" applyAlignment="1">
      <alignment horizontal="center" vertical="center"/>
    </xf>
    <xf numFmtId="0" fontId="39" fillId="11" borderId="24" xfId="0" applyFont="1" applyFill="1" applyBorder="1" applyAlignment="1">
      <alignment horizontal="center" vertical="center"/>
    </xf>
    <xf numFmtId="0" fontId="39" fillId="11" borderId="26" xfId="0" applyFont="1" applyFill="1" applyBorder="1" applyAlignment="1">
      <alignment horizontal="center" vertical="center"/>
    </xf>
    <xf numFmtId="0" fontId="39" fillId="11" borderId="29" xfId="0" applyFont="1" applyFill="1" applyBorder="1" applyAlignment="1">
      <alignment horizontal="center" vertical="center"/>
    </xf>
    <xf numFmtId="0" fontId="39" fillId="11" borderId="45" xfId="0" applyFont="1" applyFill="1" applyBorder="1" applyAlignment="1">
      <alignment horizontal="center" vertical="center"/>
    </xf>
    <xf numFmtId="0" fontId="39" fillId="11" borderId="54" xfId="0" applyFont="1" applyFill="1" applyBorder="1" applyAlignment="1">
      <alignment horizontal="center" vertical="center"/>
    </xf>
    <xf numFmtId="0" fontId="39" fillId="11" borderId="48" xfId="0" applyFont="1" applyFill="1" applyBorder="1" applyAlignment="1">
      <alignment horizontal="center" vertical="center"/>
    </xf>
    <xf numFmtId="0" fontId="27" fillId="0" borderId="44" xfId="0" applyFont="1" applyBorder="1" applyAlignment="1">
      <alignment horizontal="center" vertical="center"/>
    </xf>
    <xf numFmtId="0" fontId="27" fillId="0" borderId="53" xfId="0" applyFont="1" applyBorder="1" applyAlignment="1">
      <alignment horizontal="center" vertical="center"/>
    </xf>
    <xf numFmtId="0" fontId="39" fillId="11" borderId="73" xfId="0" applyFont="1" applyFill="1" applyBorder="1" applyAlignment="1">
      <alignment horizontal="center" vertical="center"/>
    </xf>
    <xf numFmtId="0" fontId="39" fillId="11" borderId="9" xfId="0" applyFont="1" applyFill="1" applyBorder="1" applyAlignment="1">
      <alignment horizontal="center" vertical="center"/>
    </xf>
    <xf numFmtId="0" fontId="27" fillId="0" borderId="89" xfId="0" applyFont="1" applyBorder="1" applyAlignment="1">
      <alignment horizontal="center" vertical="center"/>
    </xf>
    <xf numFmtId="0" fontId="27" fillId="0" borderId="10" xfId="0" applyFont="1" applyBorder="1" applyAlignment="1">
      <alignment horizontal="center" vertical="center"/>
    </xf>
    <xf numFmtId="0" fontId="27" fillId="0" borderId="88" xfId="0" applyFont="1" applyBorder="1" applyAlignment="1">
      <alignment horizontal="center" vertical="center"/>
    </xf>
    <xf numFmtId="0" fontId="0" fillId="0" borderId="41"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0" fillId="0" borderId="17" xfId="0" applyBorder="1" applyAlignment="1">
      <alignment horizontal="center"/>
    </xf>
    <xf numFmtId="0" fontId="0" fillId="0" borderId="0" xfId="0" applyBorder="1" applyAlignment="1">
      <alignment horizontal="center"/>
    </xf>
    <xf numFmtId="0" fontId="0" fillId="0" borderId="57" xfId="0" applyBorder="1" applyAlignment="1">
      <alignment horizontal="center"/>
    </xf>
    <xf numFmtId="0" fontId="0" fillId="0" borderId="59" xfId="0" applyBorder="1" applyAlignment="1">
      <alignment horizontal="center"/>
    </xf>
    <xf numFmtId="0" fontId="0" fillId="0" borderId="60" xfId="0" applyBorder="1" applyAlignment="1">
      <alignment horizontal="center"/>
    </xf>
    <xf numFmtId="0" fontId="0" fillId="0" borderId="61" xfId="0" applyBorder="1" applyAlignment="1">
      <alignment horizontal="center"/>
    </xf>
    <xf numFmtId="0" fontId="54" fillId="30" borderId="14" xfId="22" applyFont="1" applyFill="1" applyBorder="1" applyAlignment="1" applyProtection="1">
      <alignment horizontal="center" vertical="center" wrapText="1"/>
      <protection hidden="1"/>
    </xf>
    <xf numFmtId="0" fontId="54" fillId="30" borderId="16" xfId="22" applyFont="1" applyFill="1" applyBorder="1" applyAlignment="1" applyProtection="1">
      <alignment horizontal="center" vertical="center" wrapText="1"/>
      <protection hidden="1"/>
    </xf>
    <xf numFmtId="0" fontId="45" fillId="30" borderId="38" xfId="0" applyFont="1" applyFill="1" applyBorder="1" applyAlignment="1" applyProtection="1">
      <alignment horizontal="center" vertical="center"/>
      <protection hidden="1"/>
    </xf>
    <xf numFmtId="0" fontId="45" fillId="30" borderId="58" xfId="0" applyFont="1" applyFill="1" applyBorder="1" applyAlignment="1" applyProtection="1">
      <alignment horizontal="center" vertical="center"/>
      <protection hidden="1"/>
    </xf>
    <xf numFmtId="0" fontId="45" fillId="30" borderId="86" xfId="0" applyFont="1" applyFill="1" applyBorder="1" applyAlignment="1" applyProtection="1">
      <alignment horizontal="center" vertical="center"/>
      <protection hidden="1"/>
    </xf>
    <xf numFmtId="0" fontId="43" fillId="30" borderId="21" xfId="0" applyFont="1" applyFill="1" applyBorder="1" applyAlignment="1" applyProtection="1">
      <alignment horizontal="center" vertical="center"/>
      <protection hidden="1"/>
    </xf>
    <xf numFmtId="0" fontId="44" fillId="30" borderId="14" xfId="22" applyFont="1" applyFill="1" applyBorder="1" applyAlignment="1" applyProtection="1">
      <alignment horizontal="center" vertical="center" wrapText="1"/>
      <protection hidden="1"/>
    </xf>
    <xf numFmtId="0" fontId="44" fillId="30" borderId="16" xfId="22" applyFont="1" applyFill="1" applyBorder="1" applyAlignment="1" applyProtection="1">
      <alignment horizontal="center" vertical="center" wrapText="1"/>
      <protection hidden="1"/>
    </xf>
    <xf numFmtId="41" fontId="44" fillId="14" borderId="14" xfId="0" applyNumberFormat="1" applyFont="1" applyFill="1" applyBorder="1" applyAlignment="1" applyProtection="1">
      <alignment horizontal="center" vertical="center"/>
      <protection hidden="1"/>
    </xf>
    <xf numFmtId="41" fontId="44" fillId="14" borderId="15" xfId="0" applyNumberFormat="1" applyFont="1" applyFill="1" applyBorder="1" applyAlignment="1" applyProtection="1">
      <alignment horizontal="center" vertical="center"/>
      <protection hidden="1"/>
    </xf>
    <xf numFmtId="41" fontId="44" fillId="14" borderId="16" xfId="0" applyNumberFormat="1" applyFont="1" applyFill="1" applyBorder="1" applyAlignment="1" applyProtection="1">
      <alignment horizontal="center" vertical="center"/>
      <protection hidden="1"/>
    </xf>
    <xf numFmtId="0" fontId="54" fillId="30" borderId="38" xfId="0" applyFont="1" applyFill="1" applyBorder="1" applyAlignment="1" applyProtection="1">
      <alignment horizontal="center" vertical="center"/>
      <protection hidden="1"/>
    </xf>
    <xf numFmtId="0" fontId="54" fillId="30" borderId="86" xfId="0" applyFont="1" applyFill="1" applyBorder="1" applyAlignment="1" applyProtection="1">
      <alignment horizontal="center" vertical="center"/>
      <protection hidden="1"/>
    </xf>
    <xf numFmtId="0" fontId="54" fillId="30" borderId="58" xfId="0" applyFont="1" applyFill="1" applyBorder="1" applyAlignment="1" applyProtection="1">
      <alignment horizontal="center" vertical="center"/>
      <protection hidden="1"/>
    </xf>
    <xf numFmtId="0" fontId="54" fillId="30" borderId="38" xfId="0" applyFont="1" applyFill="1" applyBorder="1" applyAlignment="1" applyProtection="1">
      <alignment horizontal="right" vertical="center"/>
      <protection hidden="1"/>
    </xf>
    <xf numFmtId="0" fontId="54" fillId="30" borderId="86" xfId="0" applyFont="1" applyFill="1" applyBorder="1" applyAlignment="1" applyProtection="1">
      <alignment horizontal="right" vertical="center"/>
      <protection hidden="1"/>
    </xf>
    <xf numFmtId="0" fontId="54" fillId="30" borderId="58" xfId="0" applyFont="1" applyFill="1" applyBorder="1" applyAlignment="1" applyProtection="1">
      <alignment horizontal="right" vertical="center"/>
      <protection hidden="1"/>
    </xf>
    <xf numFmtId="0" fontId="42" fillId="12" borderId="6" xfId="0" applyFont="1" applyFill="1" applyBorder="1" applyAlignment="1" applyProtection="1">
      <alignment horizontal="center" vertical="center"/>
      <protection hidden="1"/>
    </xf>
    <xf numFmtId="0" fontId="42" fillId="12" borderId="8" xfId="0" applyFont="1" applyFill="1" applyBorder="1" applyAlignment="1" applyProtection="1">
      <alignment horizontal="center" vertical="center"/>
      <protection hidden="1"/>
    </xf>
    <xf numFmtId="0" fontId="42" fillId="12" borderId="9" xfId="0" applyFont="1" applyFill="1" applyBorder="1" applyAlignment="1" applyProtection="1">
      <alignment horizontal="center" vertical="center"/>
      <protection hidden="1"/>
    </xf>
    <xf numFmtId="0" fontId="42" fillId="12" borderId="10" xfId="0" applyFont="1" applyFill="1" applyBorder="1" applyAlignment="1" applyProtection="1">
      <alignment horizontal="center" vertical="center"/>
      <protection hidden="1"/>
    </xf>
    <xf numFmtId="0" fontId="42" fillId="12" borderId="11" xfId="0" applyFont="1" applyFill="1" applyBorder="1" applyAlignment="1" applyProtection="1">
      <alignment horizontal="center" vertical="center"/>
      <protection hidden="1"/>
    </xf>
    <xf numFmtId="0" fontId="42" fillId="12" borderId="13" xfId="0" applyFont="1" applyFill="1" applyBorder="1" applyAlignment="1" applyProtection="1">
      <alignment horizontal="center" vertical="center"/>
      <protection hidden="1"/>
    </xf>
    <xf numFmtId="0" fontId="0" fillId="23" borderId="14" xfId="0" applyFill="1" applyBorder="1" applyAlignment="1" applyProtection="1">
      <alignment horizontal="center" vertical="center"/>
      <protection hidden="1"/>
    </xf>
    <xf numFmtId="0" fontId="0" fillId="23" borderId="15" xfId="0" applyFill="1" applyBorder="1" applyAlignment="1" applyProtection="1">
      <alignment horizontal="center" vertical="center"/>
      <protection hidden="1"/>
    </xf>
    <xf numFmtId="0" fontId="0" fillId="23" borderId="16" xfId="0" applyFill="1" applyBorder="1" applyAlignment="1" applyProtection="1">
      <alignment horizontal="center" vertical="center"/>
      <protection hidden="1"/>
    </xf>
    <xf numFmtId="0" fontId="42" fillId="12" borderId="38" xfId="0" applyFont="1" applyFill="1" applyBorder="1" applyAlignment="1" applyProtection="1">
      <alignment horizontal="center" vertical="center"/>
      <protection hidden="1"/>
    </xf>
    <xf numFmtId="0" fontId="42" fillId="12" borderId="58" xfId="0" applyFont="1" applyFill="1" applyBorder="1" applyAlignment="1" applyProtection="1">
      <alignment horizontal="center" vertical="center"/>
      <protection hidden="1"/>
    </xf>
    <xf numFmtId="0" fontId="0" fillId="0" borderId="14"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15" xfId="0" applyBorder="1" applyAlignment="1" applyProtection="1">
      <alignment horizontal="center" vertical="center"/>
      <protection hidden="1"/>
    </xf>
    <xf numFmtId="0" fontId="42" fillId="0" borderId="0" xfId="0" applyFont="1" applyFill="1" applyBorder="1" applyAlignment="1" applyProtection="1">
      <alignment horizontal="center" vertical="center"/>
      <protection hidden="1"/>
    </xf>
    <xf numFmtId="1" fontId="44" fillId="14" borderId="12" xfId="0" applyNumberFormat="1" applyFont="1" applyFill="1" applyBorder="1" applyAlignment="1" applyProtection="1">
      <alignment horizontal="center" vertical="center"/>
      <protection locked="0"/>
    </xf>
    <xf numFmtId="1" fontId="44" fillId="14" borderId="13" xfId="0" applyNumberFormat="1" applyFont="1" applyFill="1" applyBorder="1" applyAlignment="1" applyProtection="1">
      <alignment horizontal="center" vertical="center"/>
      <protection locked="0"/>
    </xf>
    <xf numFmtId="0" fontId="53" fillId="30" borderId="38" xfId="0" applyFont="1" applyFill="1" applyBorder="1" applyAlignment="1" applyProtection="1">
      <alignment horizontal="right" vertical="center"/>
      <protection hidden="1"/>
    </xf>
    <xf numFmtId="0" fontId="53" fillId="30" borderId="86" xfId="0" applyFont="1" applyFill="1" applyBorder="1" applyAlignment="1" applyProtection="1">
      <alignment horizontal="right" vertical="center"/>
      <protection hidden="1"/>
    </xf>
    <xf numFmtId="0" fontId="53" fillId="30" borderId="58" xfId="0" applyFont="1" applyFill="1" applyBorder="1" applyAlignment="1" applyProtection="1">
      <alignment horizontal="right" vertical="center"/>
      <protection hidden="1"/>
    </xf>
    <xf numFmtId="0" fontId="12" fillId="14" borderId="18" xfId="0" applyFont="1" applyFill="1" applyBorder="1" applyAlignment="1">
      <alignment horizontal="center"/>
    </xf>
    <xf numFmtId="0" fontId="12" fillId="14" borderId="20" xfId="0" applyFont="1" applyFill="1" applyBorder="1" applyAlignment="1">
      <alignment horizontal="center"/>
    </xf>
    <xf numFmtId="0" fontId="0" fillId="0" borderId="18" xfId="0" applyBorder="1" applyAlignment="1">
      <alignment horizontal="center"/>
    </xf>
    <xf numFmtId="0" fontId="0" fillId="14" borderId="32" xfId="0" applyFill="1" applyBorder="1" applyAlignment="1">
      <alignment horizontal="center" vertical="center"/>
    </xf>
    <xf numFmtId="0" fontId="0" fillId="14" borderId="26" xfId="0" applyFill="1" applyBorder="1" applyAlignment="1">
      <alignment horizontal="center" vertical="center"/>
    </xf>
    <xf numFmtId="0" fontId="0" fillId="0" borderId="39" xfId="0" applyBorder="1" applyAlignment="1">
      <alignment horizontal="center"/>
    </xf>
    <xf numFmtId="0" fontId="0" fillId="11" borderId="25" xfId="0" applyFill="1" applyBorder="1" applyAlignment="1">
      <alignment horizontal="center" vertical="center"/>
    </xf>
    <xf numFmtId="9" fontId="0" fillId="11" borderId="14" xfId="0" applyNumberFormat="1" applyFill="1" applyBorder="1" applyAlignment="1">
      <alignment horizontal="center" vertical="center"/>
    </xf>
    <xf numFmtId="9" fontId="0" fillId="11" borderId="15" xfId="0" applyNumberFormat="1" applyFill="1" applyBorder="1" applyAlignment="1">
      <alignment horizontal="center" vertical="center"/>
    </xf>
    <xf numFmtId="0" fontId="0" fillId="0" borderId="21" xfId="0" applyBorder="1" applyAlignment="1">
      <alignment horizontal="center" vertical="center"/>
    </xf>
    <xf numFmtId="9" fontId="0" fillId="11" borderId="21" xfId="7" applyFont="1" applyFill="1" applyBorder="1" applyAlignment="1">
      <alignment horizontal="center" vertical="center"/>
    </xf>
    <xf numFmtId="0" fontId="0" fillId="11" borderId="30" xfId="0" applyFill="1" applyBorder="1" applyAlignment="1">
      <alignment horizontal="center" vertical="center"/>
    </xf>
    <xf numFmtId="9" fontId="0" fillId="11" borderId="47" xfId="0" applyNumberFormat="1" applyFill="1" applyBorder="1" applyAlignment="1">
      <alignment horizontal="center" vertical="center"/>
    </xf>
    <xf numFmtId="0" fontId="0" fillId="0" borderId="14" xfId="0" applyBorder="1" applyAlignment="1">
      <alignment horizontal="center" vertical="center"/>
    </xf>
    <xf numFmtId="9" fontId="0" fillId="11" borderId="14" xfId="7" applyFont="1" applyFill="1" applyBorder="1" applyAlignment="1">
      <alignment horizontal="center" vertical="center"/>
    </xf>
    <xf numFmtId="0" fontId="0" fillId="11" borderId="33" xfId="0" applyFill="1" applyBorder="1" applyAlignment="1">
      <alignment horizontal="center" vertical="center"/>
    </xf>
    <xf numFmtId="9" fontId="0" fillId="11" borderId="73" xfId="0" applyNumberFormat="1" applyFill="1" applyBorder="1" applyAlignment="1">
      <alignment horizontal="center" vertical="center"/>
    </xf>
    <xf numFmtId="9" fontId="0" fillId="11" borderId="9" xfId="0" applyNumberFormat="1" applyFill="1" applyBorder="1" applyAlignment="1">
      <alignment horizontal="center" vertical="center"/>
    </xf>
    <xf numFmtId="0" fontId="0" fillId="0" borderId="16" xfId="0" applyBorder="1" applyAlignment="1">
      <alignment horizontal="center" vertical="center"/>
    </xf>
    <xf numFmtId="9" fontId="0" fillId="11" borderId="16" xfId="7" applyFont="1" applyFill="1" applyBorder="1" applyAlignment="1">
      <alignment horizontal="center" vertical="center"/>
    </xf>
    <xf numFmtId="0" fontId="0" fillId="0" borderId="0" xfId="0" applyAlignment="1">
      <alignment horizontal="center" wrapText="1"/>
    </xf>
    <xf numFmtId="0" fontId="7" fillId="0" borderId="18" xfId="0" applyFont="1" applyBorder="1" applyAlignment="1">
      <alignment horizontal="right"/>
    </xf>
    <xf numFmtId="0" fontId="7" fillId="0" borderId="19" xfId="0" applyFont="1" applyBorder="1" applyAlignment="1">
      <alignment horizontal="right"/>
    </xf>
    <xf numFmtId="0" fontId="7" fillId="0" borderId="39" xfId="0" applyFont="1" applyBorder="1" applyAlignment="1">
      <alignment horizontal="right"/>
    </xf>
    <xf numFmtId="0" fontId="2" fillId="0" borderId="1" xfId="1" applyAlignment="1">
      <alignment horizontal="center" vertical="center"/>
    </xf>
    <xf numFmtId="0" fontId="28" fillId="20" borderId="17" xfId="17" applyFont="1" applyFill="1" applyBorder="1" applyAlignment="1">
      <alignment horizontal="left"/>
    </xf>
    <xf numFmtId="0" fontId="28" fillId="20" borderId="0" xfId="17" applyFont="1" applyFill="1" applyAlignment="1">
      <alignment horizontal="left"/>
    </xf>
    <xf numFmtId="0" fontId="26" fillId="19" borderId="18" xfId="0" applyFont="1" applyFill="1" applyBorder="1" applyAlignment="1">
      <alignment horizontal="center"/>
    </xf>
    <xf numFmtId="0" fontId="26" fillId="19" borderId="19" xfId="0" applyFont="1" applyFill="1" applyBorder="1" applyAlignment="1">
      <alignment horizontal="center"/>
    </xf>
    <xf numFmtId="0" fontId="26" fillId="19" borderId="20" xfId="0" applyFont="1" applyFill="1" applyBorder="1" applyAlignment="1">
      <alignment horizontal="center"/>
    </xf>
    <xf numFmtId="0" fontId="25" fillId="6" borderId="18" xfId="0" applyFont="1" applyFill="1" applyBorder="1" applyAlignment="1">
      <alignment horizontal="center"/>
    </xf>
    <xf numFmtId="0" fontId="25" fillId="6" borderId="19" xfId="0" applyFont="1" applyFill="1" applyBorder="1" applyAlignment="1">
      <alignment horizontal="center"/>
    </xf>
    <xf numFmtId="0" fontId="25" fillId="6" borderId="20" xfId="0" applyFont="1" applyFill="1" applyBorder="1" applyAlignment="1">
      <alignment horizontal="center"/>
    </xf>
    <xf numFmtId="0" fontId="10" fillId="6" borderId="18" xfId="0" applyFont="1" applyFill="1" applyBorder="1" applyAlignment="1">
      <alignment horizontal="center"/>
    </xf>
    <xf numFmtId="0" fontId="10" fillId="6" borderId="19" xfId="0" applyFont="1" applyFill="1" applyBorder="1" applyAlignment="1">
      <alignment horizontal="center"/>
    </xf>
    <xf numFmtId="0" fontId="10" fillId="6" borderId="20" xfId="0" applyFont="1" applyFill="1" applyBorder="1" applyAlignment="1">
      <alignment horizontal="center"/>
    </xf>
    <xf numFmtId="0" fontId="26" fillId="0" borderId="18" xfId="0" applyFont="1" applyBorder="1" applyAlignment="1">
      <alignment horizontal="center"/>
    </xf>
    <xf numFmtId="0" fontId="26" fillId="0" borderId="19" xfId="0" applyFont="1" applyBorder="1" applyAlignment="1">
      <alignment horizontal="center"/>
    </xf>
    <xf numFmtId="0" fontId="26" fillId="0" borderId="20" xfId="0" applyFont="1" applyBorder="1" applyAlignment="1">
      <alignment horizontal="center"/>
    </xf>
    <xf numFmtId="0" fontId="26" fillId="0" borderId="41" xfId="0" applyFont="1" applyBorder="1" applyAlignment="1">
      <alignment horizontal="center"/>
    </xf>
    <xf numFmtId="0" fontId="26" fillId="0" borderId="42" xfId="0" applyFont="1" applyBorder="1" applyAlignment="1">
      <alignment horizontal="center"/>
    </xf>
    <xf numFmtId="0" fontId="26" fillId="0" borderId="43" xfId="0" applyFont="1" applyBorder="1" applyAlignment="1">
      <alignment horizontal="center"/>
    </xf>
    <xf numFmtId="0" fontId="25" fillId="20" borderId="18" xfId="0" applyFont="1" applyFill="1" applyBorder="1" applyAlignment="1">
      <alignment horizontal="center"/>
    </xf>
    <xf numFmtId="0" fontId="25" fillId="20" borderId="19" xfId="0" applyFont="1" applyFill="1" applyBorder="1" applyAlignment="1">
      <alignment horizontal="center"/>
    </xf>
    <xf numFmtId="0" fontId="25" fillId="20" borderId="20" xfId="0" applyFont="1" applyFill="1" applyBorder="1" applyAlignment="1">
      <alignment horizontal="center"/>
    </xf>
    <xf numFmtId="0" fontId="25" fillId="6" borderId="41" xfId="0" applyFont="1" applyFill="1" applyBorder="1" applyAlignment="1">
      <alignment horizontal="center"/>
    </xf>
    <xf numFmtId="0" fontId="25" fillId="6" borderId="42" xfId="0" applyFont="1" applyFill="1" applyBorder="1" applyAlignment="1">
      <alignment horizontal="center"/>
    </xf>
    <xf numFmtId="0" fontId="25" fillId="6" borderId="43" xfId="0" applyFont="1" applyFill="1" applyBorder="1" applyAlignment="1">
      <alignment horizontal="center"/>
    </xf>
    <xf numFmtId="0" fontId="28" fillId="20" borderId="41" xfId="17" applyFont="1" applyFill="1" applyBorder="1" applyAlignment="1">
      <alignment horizontal="left"/>
    </xf>
    <xf numFmtId="0" fontId="28" fillId="20" borderId="42" xfId="17" applyFont="1" applyFill="1" applyBorder="1" applyAlignment="1">
      <alignment horizontal="left"/>
    </xf>
    <xf numFmtId="0" fontId="30" fillId="25" borderId="17" xfId="0" applyFont="1" applyFill="1" applyBorder="1" applyAlignment="1">
      <alignment horizontal="left"/>
    </xf>
    <xf numFmtId="0" fontId="30" fillId="25" borderId="0" xfId="0" applyFont="1" applyFill="1" applyAlignment="1">
      <alignment horizontal="left"/>
    </xf>
    <xf numFmtId="0" fontId="30" fillId="25" borderId="57" xfId="0" applyFont="1" applyFill="1" applyBorder="1" applyAlignment="1">
      <alignment horizontal="left"/>
    </xf>
    <xf numFmtId="0" fontId="35" fillId="0" borderId="0" xfId="0" applyFont="1" applyAlignment="1">
      <alignment horizontal="center" vertical="top" wrapText="1"/>
    </xf>
    <xf numFmtId="0" fontId="26" fillId="20" borderId="18" xfId="0" applyFont="1" applyFill="1" applyBorder="1" applyAlignment="1">
      <alignment horizontal="center"/>
    </xf>
    <xf numFmtId="0" fontId="26" fillId="20" borderId="19" xfId="0" applyFont="1" applyFill="1" applyBorder="1" applyAlignment="1">
      <alignment horizontal="center"/>
    </xf>
    <xf numFmtId="0" fontId="26" fillId="20" borderId="20" xfId="0" applyFont="1" applyFill="1" applyBorder="1" applyAlignment="1">
      <alignment horizontal="center"/>
    </xf>
    <xf numFmtId="0" fontId="32" fillId="26" borderId="18" xfId="0" applyFont="1" applyFill="1" applyBorder="1" applyAlignment="1">
      <alignment horizontal="center"/>
    </xf>
    <xf numFmtId="0" fontId="32" fillId="26" borderId="20" xfId="0" applyFont="1" applyFill="1" applyBorder="1" applyAlignment="1">
      <alignment horizontal="center"/>
    </xf>
    <xf numFmtId="0" fontId="26" fillId="0" borderId="44" xfId="0" applyFont="1" applyBorder="1" applyAlignment="1">
      <alignment horizontal="center"/>
    </xf>
    <xf numFmtId="0" fontId="26" fillId="0" borderId="73" xfId="0" applyFont="1" applyBorder="1" applyAlignment="1">
      <alignment horizontal="center"/>
    </xf>
    <xf numFmtId="0" fontId="26" fillId="0" borderId="22" xfId="0" applyFont="1" applyBorder="1" applyAlignment="1">
      <alignment horizontal="center"/>
    </xf>
    <xf numFmtId="0" fontId="26" fillId="0" borderId="74" xfId="0" applyFont="1" applyBorder="1" applyAlignment="1">
      <alignment horizontal="center"/>
    </xf>
    <xf numFmtId="0" fontId="26" fillId="0" borderId="27" xfId="0" applyFont="1" applyBorder="1" applyAlignment="1">
      <alignment horizontal="center"/>
    </xf>
    <xf numFmtId="0" fontId="26" fillId="0" borderId="75" xfId="0" applyFont="1" applyBorder="1" applyAlignment="1">
      <alignment horizontal="center"/>
    </xf>
    <xf numFmtId="0" fontId="33" fillId="29" borderId="18" xfId="0" applyFont="1" applyFill="1" applyBorder="1" applyAlignment="1">
      <alignment horizontal="center"/>
    </xf>
    <xf numFmtId="0" fontId="33" fillId="29" borderId="19" xfId="0" applyFont="1" applyFill="1" applyBorder="1" applyAlignment="1">
      <alignment horizontal="center"/>
    </xf>
    <xf numFmtId="0" fontId="33" fillId="29" borderId="20" xfId="0" applyFont="1" applyFill="1" applyBorder="1" applyAlignment="1">
      <alignment horizontal="center"/>
    </xf>
    <xf numFmtId="0" fontId="25" fillId="0" borderId="0" xfId="0" applyFont="1" applyAlignment="1">
      <alignment horizontal="center"/>
    </xf>
    <xf numFmtId="0" fontId="26" fillId="19" borderId="34" xfId="0" applyFont="1" applyFill="1" applyBorder="1" applyAlignment="1">
      <alignment horizontal="center"/>
    </xf>
    <xf numFmtId="0" fontId="26" fillId="19" borderId="35" xfId="0" applyFont="1" applyFill="1" applyBorder="1" applyAlignment="1">
      <alignment horizontal="center"/>
    </xf>
    <xf numFmtId="0" fontId="26" fillId="19" borderId="36" xfId="0" applyFont="1" applyFill="1" applyBorder="1" applyAlignment="1">
      <alignment horizontal="center"/>
    </xf>
    <xf numFmtId="0" fontId="28" fillId="20" borderId="59" xfId="17" applyFont="1" applyFill="1" applyBorder="1" applyAlignment="1">
      <alignment horizontal="left"/>
    </xf>
    <xf numFmtId="0" fontId="28" fillId="20" borderId="60" xfId="17" applyFont="1" applyFill="1" applyBorder="1" applyAlignment="1">
      <alignment horizontal="left"/>
    </xf>
    <xf numFmtId="0" fontId="3" fillId="0" borderId="2" xfId="2" applyAlignment="1">
      <alignment horizont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wrapText="1"/>
    </xf>
    <xf numFmtId="0" fontId="0" fillId="0" borderId="0" xfId="0" applyBorder="1" applyAlignment="1">
      <alignment horizontal="center" vertical="center" wrapText="1"/>
    </xf>
    <xf numFmtId="0" fontId="0" fillId="0" borderId="12" xfId="0" applyBorder="1" applyAlignment="1">
      <alignment horizontal="center" vertical="center" wrapText="1"/>
    </xf>
    <xf numFmtId="2" fontId="0" fillId="0" borderId="7" xfId="0" applyNumberFormat="1" applyBorder="1" applyAlignment="1">
      <alignment horizontal="center" vertical="center"/>
    </xf>
    <xf numFmtId="2" fontId="0" fillId="0" borderId="0" xfId="0" applyNumberFormat="1" applyBorder="1" applyAlignment="1">
      <alignment horizontal="center" vertical="center"/>
    </xf>
    <xf numFmtId="2" fontId="0" fillId="0" borderId="12" xfId="0" applyNumberFormat="1" applyBorder="1" applyAlignment="1">
      <alignment horizontal="center" vertical="center"/>
    </xf>
    <xf numFmtId="0" fontId="0" fillId="0" borderId="15" xfId="0" applyBorder="1" applyAlignment="1">
      <alignment horizontal="center" vertical="center"/>
    </xf>
    <xf numFmtId="0" fontId="0" fillId="0" borderId="8" xfId="0" applyNumberFormat="1" applyBorder="1" applyAlignment="1">
      <alignment horizontal="center" vertical="center"/>
    </xf>
    <xf numFmtId="0" fontId="0" fillId="0" borderId="10" xfId="0" applyNumberFormat="1" applyBorder="1" applyAlignment="1">
      <alignment horizontal="center" vertical="center"/>
    </xf>
    <xf numFmtId="0" fontId="0" fillId="0" borderId="13" xfId="0" applyNumberFormat="1"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165" fontId="0" fillId="0" borderId="7" xfId="7" applyNumberFormat="1" applyFont="1" applyBorder="1" applyAlignment="1">
      <alignment horizontal="center" vertical="center"/>
    </xf>
    <xf numFmtId="165" fontId="0" fillId="0" borderId="0" xfId="7" applyNumberFormat="1" applyFont="1" applyBorder="1" applyAlignment="1">
      <alignment horizontal="center" vertical="center"/>
    </xf>
    <xf numFmtId="165" fontId="0" fillId="0" borderId="12" xfId="7" applyNumberFormat="1" applyFont="1" applyBorder="1" applyAlignment="1">
      <alignment horizontal="center" vertical="center"/>
    </xf>
    <xf numFmtId="164" fontId="0" fillId="0" borderId="7" xfId="0" applyNumberFormat="1" applyBorder="1" applyAlignment="1">
      <alignment horizontal="center" vertical="center"/>
    </xf>
    <xf numFmtId="164" fontId="0" fillId="0" borderId="0" xfId="0" applyNumberFormat="1" applyBorder="1" applyAlignment="1">
      <alignment horizontal="center" vertical="center"/>
    </xf>
    <xf numFmtId="164" fontId="0" fillId="0" borderId="12" xfId="0" applyNumberFormat="1"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1" fontId="0" fillId="0" borderId="7" xfId="0" applyNumberFormat="1" applyBorder="1" applyAlignment="1">
      <alignment horizontal="center" vertical="center" wrapText="1"/>
    </xf>
    <xf numFmtId="1" fontId="0" fillId="0" borderId="0" xfId="0" applyNumberFormat="1" applyBorder="1" applyAlignment="1">
      <alignment horizontal="center" vertical="center" wrapText="1"/>
    </xf>
    <xf numFmtId="1" fontId="0" fillId="0" borderId="12" xfId="0" applyNumberFormat="1" applyBorder="1" applyAlignment="1">
      <alignment horizontal="center" vertical="center" wrapText="1"/>
    </xf>
    <xf numFmtId="9" fontId="0" fillId="0" borderId="7" xfId="7" applyFont="1" applyBorder="1" applyAlignment="1">
      <alignment horizontal="center" vertical="center" wrapText="1"/>
    </xf>
    <xf numFmtId="9" fontId="0" fillId="0" borderId="0" xfId="7" applyFont="1" applyBorder="1" applyAlignment="1">
      <alignment horizontal="center" vertical="center" wrapText="1"/>
    </xf>
    <xf numFmtId="9" fontId="0" fillId="0" borderId="12" xfId="7" applyFont="1" applyBorder="1" applyAlignment="1">
      <alignment horizontal="center" vertical="center" wrapText="1"/>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0" fillId="0" borderId="7" xfId="0" applyNumberFormat="1" applyBorder="1" applyAlignment="1">
      <alignment horizontal="center" vertical="center" wrapText="1"/>
    </xf>
    <xf numFmtId="0" fontId="0" fillId="0" borderId="0" xfId="0" applyNumberFormat="1" applyBorder="1" applyAlignment="1">
      <alignment horizontal="center" vertical="center" wrapText="1"/>
    </xf>
    <xf numFmtId="0" fontId="0" fillId="0" borderId="12" xfId="0" applyNumberFormat="1" applyBorder="1" applyAlignment="1">
      <alignment horizontal="center" vertical="center" wrapText="1"/>
    </xf>
    <xf numFmtId="10" fontId="0" fillId="0" borderId="7" xfId="0" applyNumberFormat="1" applyBorder="1" applyAlignment="1">
      <alignment horizontal="center" vertical="center" wrapText="1"/>
    </xf>
    <xf numFmtId="10" fontId="0" fillId="0" borderId="0" xfId="0" applyNumberFormat="1" applyBorder="1" applyAlignment="1">
      <alignment horizontal="center" vertical="center" wrapText="1"/>
    </xf>
    <xf numFmtId="10" fontId="0" fillId="0" borderId="12" xfId="0" applyNumberFormat="1" applyBorder="1" applyAlignment="1">
      <alignment horizontal="center" vertical="center" wrapText="1"/>
    </xf>
    <xf numFmtId="0" fontId="0" fillId="0" borderId="21" xfId="6" applyFont="1" applyFill="1" applyBorder="1" applyAlignment="1">
      <alignment horizontal="center" vertical="center"/>
    </xf>
    <xf numFmtId="0" fontId="0" fillId="0" borderId="8" xfId="0" applyFill="1" applyBorder="1" applyAlignment="1">
      <alignment horizontal="center" vertical="center"/>
    </xf>
    <xf numFmtId="0" fontId="0" fillId="0" borderId="10" xfId="0" applyFill="1" applyBorder="1" applyAlignment="1">
      <alignment horizontal="center" vertical="center"/>
    </xf>
    <xf numFmtId="0" fontId="0" fillId="0" borderId="13" xfId="0" applyFill="1" applyBorder="1" applyAlignment="1">
      <alignment horizontal="center" vertical="center"/>
    </xf>
    <xf numFmtId="0" fontId="0" fillId="0" borderId="5" xfId="6" applyFont="1" applyFill="1" applyAlignment="1">
      <alignment horizontal="center" vertical="center"/>
    </xf>
    <xf numFmtId="0" fontId="11" fillId="0" borderId="7" xfId="3" applyFont="1" applyFill="1" applyBorder="1" applyAlignment="1">
      <alignment horizontal="center" vertical="center" wrapText="1"/>
    </xf>
    <xf numFmtId="0" fontId="11" fillId="0" borderId="0" xfId="3" applyFont="1" applyFill="1" applyBorder="1" applyAlignment="1">
      <alignment horizontal="center" vertical="center" wrapText="1"/>
    </xf>
    <xf numFmtId="0" fontId="11" fillId="0" borderId="12" xfId="3" applyFont="1" applyFill="1" applyBorder="1" applyAlignment="1">
      <alignment horizontal="center" vertical="center" wrapText="1"/>
    </xf>
    <xf numFmtId="2" fontId="0" fillId="0" borderId="7" xfId="0" applyNumberFormat="1" applyBorder="1" applyAlignment="1">
      <alignment horizontal="center" vertical="center" wrapText="1"/>
    </xf>
    <xf numFmtId="2" fontId="0" fillId="0" borderId="0" xfId="0" applyNumberFormat="1" applyBorder="1" applyAlignment="1">
      <alignment horizontal="center" vertical="center" wrapText="1"/>
    </xf>
    <xf numFmtId="2" fontId="0" fillId="0" borderId="12" xfId="0" applyNumberFormat="1" applyBorder="1" applyAlignment="1">
      <alignment horizontal="center" vertical="center" wrapText="1"/>
    </xf>
    <xf numFmtId="0" fontId="0" fillId="0" borderId="51" xfId="6" applyFont="1" applyFill="1" applyBorder="1" applyAlignment="1">
      <alignment horizontal="center" vertical="center" wrapText="1"/>
    </xf>
    <xf numFmtId="0" fontId="0" fillId="0" borderId="5" xfId="6" applyFont="1" applyFill="1" applyAlignment="1">
      <alignment horizontal="center" vertical="center" wrapText="1"/>
    </xf>
    <xf numFmtId="10" fontId="0" fillId="0" borderId="51" xfId="6" applyNumberFormat="1" applyFont="1" applyFill="1" applyBorder="1" applyAlignment="1">
      <alignment horizontal="center" vertical="center" wrapText="1"/>
    </xf>
    <xf numFmtId="10" fontId="0" fillId="0" borderId="5" xfId="6" applyNumberFormat="1" applyFont="1" applyFill="1" applyBorder="1" applyAlignment="1">
      <alignment horizontal="center" vertical="center" wrapText="1"/>
    </xf>
    <xf numFmtId="10" fontId="0" fillId="0" borderId="50" xfId="6" applyNumberFormat="1" applyFont="1" applyFill="1" applyBorder="1" applyAlignment="1">
      <alignment horizontal="center" vertical="center" wrapText="1"/>
    </xf>
    <xf numFmtId="164" fontId="0" fillId="0" borderId="7" xfId="0" applyNumberFormat="1" applyBorder="1" applyAlignment="1">
      <alignment horizontal="center" vertical="center" wrapText="1"/>
    </xf>
    <xf numFmtId="164" fontId="0" fillId="0" borderId="0" xfId="0" applyNumberFormat="1" applyBorder="1" applyAlignment="1">
      <alignment horizontal="center" vertical="center" wrapText="1"/>
    </xf>
    <xf numFmtId="164" fontId="0" fillId="0" borderId="12" xfId="0" applyNumberFormat="1" applyBorder="1" applyAlignment="1">
      <alignment horizontal="center" vertical="center" wrapText="1"/>
    </xf>
    <xf numFmtId="165" fontId="0" fillId="0" borderId="7" xfId="7" applyNumberFormat="1" applyFont="1" applyBorder="1" applyAlignment="1">
      <alignment horizontal="center" vertical="center" wrapText="1"/>
    </xf>
    <xf numFmtId="165" fontId="0" fillId="0" borderId="0" xfId="7" applyNumberFormat="1" applyFont="1" applyBorder="1" applyAlignment="1">
      <alignment horizontal="center" vertical="center" wrapText="1"/>
    </xf>
    <xf numFmtId="165" fontId="0" fillId="0" borderId="12" xfId="7" applyNumberFormat="1" applyFont="1" applyBorder="1" applyAlignment="1">
      <alignment horizontal="center" vertical="center" wrapText="1"/>
    </xf>
    <xf numFmtId="0" fontId="0" fillId="11" borderId="18" xfId="0" applyFill="1" applyBorder="1" applyAlignment="1">
      <alignment horizontal="center" wrapText="1"/>
    </xf>
    <xf numFmtId="0" fontId="0" fillId="11" borderId="19" xfId="0" applyFill="1" applyBorder="1" applyAlignment="1">
      <alignment horizontal="center" wrapText="1"/>
    </xf>
    <xf numFmtId="0" fontId="0" fillId="11" borderId="20" xfId="0" applyFill="1" applyBorder="1" applyAlignment="1">
      <alignment horizontal="center" wrapText="1"/>
    </xf>
    <xf numFmtId="0" fontId="0" fillId="11" borderId="18" xfId="0" applyFill="1" applyBorder="1" applyAlignment="1">
      <alignment horizontal="center"/>
    </xf>
    <xf numFmtId="0" fontId="0" fillId="11" borderId="19" xfId="0" applyFill="1" applyBorder="1" applyAlignment="1">
      <alignment horizontal="center"/>
    </xf>
    <xf numFmtId="0" fontId="0" fillId="11" borderId="20" xfId="0" applyFill="1" applyBorder="1" applyAlignment="1">
      <alignment horizontal="center"/>
    </xf>
  </cellXfs>
  <cellStyles count="34">
    <cellStyle name="Boden" xfId="12" xr:uid="{BF12C732-AE47-44D2-87AA-3A879BDB0625}"/>
    <cellStyle name="Entrée" xfId="4" builtinId="20"/>
    <cellStyle name="Euro" xfId="24" xr:uid="{6E151EB1-26BC-42D5-87CA-639038225F75}"/>
    <cellStyle name="Insatisfaisant" xfId="3" builtinId="27"/>
    <cellStyle name="Lien hypertexte" xfId="19" builtinId="8"/>
    <cellStyle name="Luft" xfId="16" xr:uid="{266769FC-976D-4B63-BF02-338D495EE76B}"/>
    <cellStyle name="Migliaia 2" xfId="25" xr:uid="{613B47F1-81FF-48B0-836F-60041EB98578}"/>
    <cellStyle name="Migliaia 3" xfId="30" xr:uid="{CA3C110A-B8D8-428D-9859-CFA727CD351D}"/>
    <cellStyle name="Milliers" xfId="20" builtinId="3"/>
    <cellStyle name="Milliers 2" xfId="18" xr:uid="{C8519234-DBF4-4095-96E5-67D8A713139F}"/>
    <cellStyle name="Monétaire 2" xfId="29" xr:uid="{30F989AC-9C6E-4F14-8678-EB81F6469399}"/>
    <cellStyle name="Normal" xfId="0" builtinId="0"/>
    <cellStyle name="Normal 2" xfId="9" xr:uid="{5350E987-983C-4035-ABF8-5AC0489A1224}"/>
    <cellStyle name="Normal 3" xfId="10" xr:uid="{0788FFCD-8136-4F3F-A27F-A616AE9FB04E}"/>
    <cellStyle name="Normal 4" xfId="17" xr:uid="{81EFF4EE-3A2A-49D9-A100-7F5C904982FF}"/>
    <cellStyle name="Normal 5" xfId="21" xr:uid="{49371224-3086-4C09-90B7-A8271EF6B02C}"/>
    <cellStyle name="Normale 2" xfId="22" xr:uid="{4AAB9B79-7C64-4AF9-B6CA-8F7E298F922E}"/>
    <cellStyle name="Normale 3" xfId="26" xr:uid="{8ECAB199-D468-4264-B91D-56F32EE93FBF}"/>
    <cellStyle name="Normale 3 2" xfId="32" xr:uid="{89461B22-839D-4B55-9CFC-6142DE3F07DF}"/>
    <cellStyle name="Normale 4" xfId="27" xr:uid="{BCA23602-C240-4BEC-93BB-F1CD8742B079}"/>
    <cellStyle name="Note" xfId="6" builtinId="10"/>
    <cellStyle name="Percentuale 2" xfId="23" xr:uid="{866915E2-858F-40CC-8001-93855ADC78AB}"/>
    <cellStyle name="Percentuale 3" xfId="28" xr:uid="{7E469886-6CF2-414E-81C8-45148CB4B426}"/>
    <cellStyle name="Percentuale 4" xfId="31" xr:uid="{A5977DE5-E9E5-40F8-94D7-1F9A4F1664D1}"/>
    <cellStyle name="Pourcentage" xfId="7" builtinId="5"/>
    <cellStyle name="Pourcentage 2" xfId="33" xr:uid="{63B15823-A667-4B66-A6E1-683AFD30FA85}"/>
    <cellStyle name="Sortie" xfId="5" builtinId="21"/>
    <cellStyle name="Standard 3" xfId="11" xr:uid="{5978C18F-6EC3-4EEA-B05E-52698AE64E0C}"/>
    <cellStyle name="Titre 1" xfId="1" builtinId="16"/>
    <cellStyle name="Titre 2" xfId="2" builtinId="17"/>
    <cellStyle name="Titre 3" xfId="8" builtinId="18"/>
    <cellStyle name="Wasser" xfId="13" xr:uid="{A958C387-88F8-4C7E-9A63-FFEEDFCDCED9}"/>
    <cellStyle name="Wasseremission" xfId="14" xr:uid="{72BAE43A-EEC1-49E8-A70D-D99DF14C97B8}"/>
    <cellStyle name="wissenschaft-Eingabe" xfId="15" xr:uid="{9550D839-876E-4D94-8B85-201EB8C72186}"/>
  </cellStyles>
  <dxfs count="31">
    <dxf>
      <font>
        <strike val="0"/>
        <color theme="0"/>
      </font>
      <fill>
        <patternFill>
          <bgColor rgb="FF00B050"/>
        </patternFill>
      </fill>
    </dxf>
    <dxf>
      <font>
        <color theme="0"/>
      </font>
      <fill>
        <patternFill>
          <bgColor rgb="FFFF0000"/>
        </patternFill>
      </fill>
    </dxf>
    <dxf>
      <font>
        <color rgb="FFFF0000"/>
      </font>
      <fill>
        <patternFill>
          <bgColor rgb="FFFFFFCC"/>
        </patternFill>
      </fill>
    </dxf>
    <dxf>
      <font>
        <color rgb="FFFF0000"/>
      </font>
      <fill>
        <patternFill>
          <bgColor rgb="FFFFFFCC"/>
        </patternFill>
      </fill>
    </dxf>
    <dxf>
      <font>
        <color rgb="FFFF0000"/>
      </font>
      <fill>
        <patternFill>
          <bgColor rgb="FFFFFFCC"/>
        </patternFill>
      </fill>
    </dxf>
    <dxf>
      <font>
        <color rgb="FF008000"/>
      </font>
      <fill>
        <patternFill>
          <bgColor rgb="FFCCFFCC"/>
        </patternFill>
      </fill>
    </dxf>
    <dxf>
      <font>
        <color theme="0"/>
      </font>
      <fill>
        <patternFill>
          <bgColor rgb="FF00B050"/>
        </patternFill>
      </fill>
    </dxf>
    <dxf>
      <font>
        <color theme="0"/>
      </font>
      <fill>
        <patternFill>
          <bgColor rgb="FFFF0000"/>
        </patternFill>
      </fill>
    </dxf>
    <dxf>
      <font>
        <color auto="1"/>
      </font>
      <fill>
        <patternFill>
          <bgColor rgb="FFFF6600"/>
        </patternFill>
      </fill>
    </dxf>
    <dxf>
      <numFmt numFmtId="13" formatCode="0%"/>
    </dxf>
    <dxf>
      <numFmt numFmtId="13" formatCode="0%"/>
    </dxf>
    <dxf>
      <numFmt numFmtId="13" formatCode="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numFmt numFmtId="13" formatCode="0%"/>
    </dxf>
    <dxf>
      <font>
        <b val="0"/>
        <i val="0"/>
        <strike val="0"/>
        <condense val="0"/>
        <extend val="0"/>
        <outline val="0"/>
        <shadow val="0"/>
        <u val="none"/>
        <vertAlign val="baseline"/>
        <sz val="11"/>
        <color theme="1"/>
        <name val="Calibri"/>
        <family val="2"/>
        <scheme val="minor"/>
      </font>
    </dxf>
    <dxf>
      <border outline="0">
        <bottom style="medium">
          <color theme="4" tint="0.39997558519241921"/>
        </bottom>
      </border>
    </dxf>
    <dxf>
      <font>
        <b val="0"/>
        <i val="0"/>
        <strike val="0"/>
        <condense val="0"/>
        <extend val="0"/>
        <outline val="0"/>
        <shadow val="0"/>
        <u val="none"/>
        <vertAlign val="baseline"/>
        <sz val="11"/>
        <color theme="1"/>
        <name val="Calibri"/>
        <family val="2"/>
        <scheme val="minor"/>
      </font>
      <numFmt numFmtId="14" formatCode="0.00%"/>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4" formatCode="0.00%"/>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4" formatCode="0.00%"/>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4" formatCode="0.00%"/>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4" formatCode="0.00%"/>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4" formatCode="0.00%"/>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4" formatCode="0.00%"/>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4" formatCode="0.00%"/>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4" formatCode="0.00%"/>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4" formatCode="0.00%"/>
    </dxf>
    <dxf>
      <numFmt numFmtId="14" formatCode="0.00%"/>
    </dxf>
    <dxf>
      <numFmt numFmtId="14" formatCode="0.00%"/>
    </dxf>
  </dxfs>
  <tableStyles count="0" defaultTableStyle="TableStyleMedium2" defaultPivotStyle="PivotStyleLight16"/>
  <colors>
    <mruColors>
      <color rgb="FFFF6600"/>
      <color rgb="FFFF66FF"/>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23574542848394"/>
          <c:y val="5.9724305555555558E-2"/>
          <c:w val="0.79978523576782568"/>
          <c:h val="0.84945918803418863"/>
        </c:manualLayout>
      </c:layout>
      <c:scatterChart>
        <c:scatterStyle val="lineMarker"/>
        <c:varyColors val="0"/>
        <c:ser>
          <c:idx val="0"/>
          <c:order val="0"/>
          <c:spPr>
            <a:ln w="12700">
              <a:solidFill>
                <a:schemeClr val="tx1"/>
              </a:solidFill>
            </a:ln>
          </c:spPr>
          <c:marker>
            <c:symbol val="circle"/>
            <c:size val="5"/>
            <c:spPr>
              <a:solidFill>
                <a:schemeClr val="tx2">
                  <a:lumMod val="60000"/>
                  <a:lumOff val="40000"/>
                </a:schemeClr>
              </a:solidFill>
              <a:ln w="6350">
                <a:solidFill>
                  <a:prstClr val="black"/>
                </a:solidFill>
              </a:ln>
            </c:spPr>
          </c:marker>
          <c:xVal>
            <c:numLit>
              <c:formatCode>General</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Lit>
          </c:xVal>
          <c:yVal>
            <c:numLit>
              <c:formatCode>General</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Lit>
          </c:yVal>
          <c:smooth val="1"/>
          <c:extLst>
            <c:ext xmlns:c15="http://schemas.microsoft.com/office/drawing/2012/chart" uri="{02D57815-91ED-43cb-92C2-25804820EDAC}">
              <c15:filteredSeriesTitle>
                <c15:tx>
                  <c:v>#REF!</c:v>
                </c15:tx>
              </c15:filteredSeriesTitle>
            </c:ext>
            <c:ext xmlns:c16="http://schemas.microsoft.com/office/drawing/2014/chart" uri="{C3380CC4-5D6E-409C-BE32-E72D297353CC}">
              <c16:uniqueId val="{00000000-6014-4931-A4AD-3FE9DBC2AFB3}"/>
            </c:ext>
          </c:extLst>
        </c:ser>
        <c:ser>
          <c:idx val="1"/>
          <c:order val="1"/>
          <c:spPr>
            <a:ln w="12700"/>
          </c:spPr>
          <c:xVal>
            <c:numLit>
              <c:formatCode>General</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Lit>
          </c:xVal>
          <c:yVal>
            <c:numLit>
              <c:formatCode>General</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Lit>
          </c:yVal>
          <c:smooth val="1"/>
          <c:extLst>
            <c:ext xmlns:c15="http://schemas.microsoft.com/office/drawing/2012/chart" uri="{02D57815-91ED-43cb-92C2-25804820EDAC}">
              <c15:filteredSeriesTitle>
                <c15:tx>
                  <c:v>#REF!</c:v>
                </c15:tx>
              </c15:filteredSeriesTitle>
            </c:ext>
            <c:ext xmlns:c16="http://schemas.microsoft.com/office/drawing/2014/chart" uri="{C3380CC4-5D6E-409C-BE32-E72D297353CC}">
              <c16:uniqueId val="{00000001-6014-4931-A4AD-3FE9DBC2AFB3}"/>
            </c:ext>
          </c:extLst>
        </c:ser>
        <c:ser>
          <c:idx val="2"/>
          <c:order val="2"/>
          <c:spPr>
            <a:ln w="12700">
              <a:solidFill>
                <a:schemeClr val="tx1"/>
              </a:solidFill>
            </a:ln>
          </c:spPr>
          <c:marker>
            <c:spPr>
              <a:solidFill>
                <a:schemeClr val="tx1"/>
              </a:solidFill>
            </c:spPr>
          </c:marker>
          <c:xVal>
            <c:numLit>
              <c:formatCode>General</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Lit>
          </c:xVal>
          <c:yVal>
            <c:numLit>
              <c:formatCode>General</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Lit>
          </c:yVal>
          <c:smooth val="1"/>
          <c:extLst>
            <c:ext xmlns:c15="http://schemas.microsoft.com/office/drawing/2012/chart" uri="{02D57815-91ED-43cb-92C2-25804820EDAC}">
              <c15:filteredSeriesTitle>
                <c15:tx>
                  <c:v>#REF!</c:v>
                </c15:tx>
              </c15:filteredSeriesTitle>
            </c:ext>
            <c:ext xmlns:c16="http://schemas.microsoft.com/office/drawing/2014/chart" uri="{C3380CC4-5D6E-409C-BE32-E72D297353CC}">
              <c16:uniqueId val="{00000002-6014-4931-A4AD-3FE9DBC2AFB3}"/>
            </c:ext>
          </c:extLst>
        </c:ser>
        <c:ser>
          <c:idx val="3"/>
          <c:order val="3"/>
          <c:spPr>
            <a:ln w="12700"/>
          </c:spPr>
          <c:xVal>
            <c:numLit>
              <c:formatCode>General</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Lit>
          </c:xVal>
          <c:yVal>
            <c:numLit>
              <c:formatCode>General</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Lit>
          </c:yVal>
          <c:smooth val="1"/>
          <c:extLst>
            <c:ext xmlns:c15="http://schemas.microsoft.com/office/drawing/2012/chart" uri="{02D57815-91ED-43cb-92C2-25804820EDAC}">
              <c15:filteredSeriesTitle>
                <c15:tx>
                  <c:v>#REF!</c:v>
                </c15:tx>
              </c15:filteredSeriesTitle>
            </c:ext>
            <c:ext xmlns:c16="http://schemas.microsoft.com/office/drawing/2014/chart" uri="{C3380CC4-5D6E-409C-BE32-E72D297353CC}">
              <c16:uniqueId val="{00000003-6014-4931-A4AD-3FE9DBC2AFB3}"/>
            </c:ext>
          </c:extLst>
        </c:ser>
        <c:ser>
          <c:idx val="4"/>
          <c:order val="4"/>
          <c:spPr>
            <a:ln w="12700"/>
          </c:spPr>
          <c:marker>
            <c:spPr>
              <a:ln w="12700"/>
            </c:spPr>
          </c:marker>
          <c:xVal>
            <c:numLit>
              <c:formatCode>General</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Lit>
          </c:xVal>
          <c:yVal>
            <c:numLit>
              <c:formatCode>General</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Lit>
          </c:yVal>
          <c:smooth val="1"/>
          <c:extLst>
            <c:ext xmlns:c15="http://schemas.microsoft.com/office/drawing/2012/chart" uri="{02D57815-91ED-43cb-92C2-25804820EDAC}">
              <c15:filteredSeriesTitle>
                <c15:tx>
                  <c:v>#REF!</c:v>
                </c15:tx>
              </c15:filteredSeriesTitle>
            </c:ext>
            <c:ext xmlns:c16="http://schemas.microsoft.com/office/drawing/2014/chart" uri="{C3380CC4-5D6E-409C-BE32-E72D297353CC}">
              <c16:uniqueId val="{00000004-6014-4931-A4AD-3FE9DBC2AFB3}"/>
            </c:ext>
          </c:extLst>
        </c:ser>
        <c:dLbls>
          <c:showLegendKey val="0"/>
          <c:showVal val="0"/>
          <c:showCatName val="0"/>
          <c:showSerName val="0"/>
          <c:showPercent val="0"/>
          <c:showBubbleSize val="0"/>
        </c:dLbls>
        <c:axId val="-1709511104"/>
        <c:axId val="-1709500768"/>
      </c:scatterChart>
      <c:valAx>
        <c:axId val="-1709511104"/>
        <c:scaling>
          <c:orientation val="minMax"/>
          <c:max val="30"/>
        </c:scaling>
        <c:delete val="0"/>
        <c:axPos val="b"/>
        <c:majorGridlines>
          <c:spPr>
            <a:ln w="6350">
              <a:solidFill>
                <a:srgbClr val="0000FF"/>
              </a:solidFill>
              <a:prstDash val="sysDash"/>
            </a:ln>
          </c:spPr>
        </c:majorGridlines>
        <c:title>
          <c:tx>
            <c:rich>
              <a:bodyPr/>
              <a:lstStyle/>
              <a:p>
                <a:pPr>
                  <a:defRPr sz="1000"/>
                </a:pPr>
                <a:r>
                  <a:rPr lang="en-US" sz="1000"/>
                  <a:t>ANNI</a:t>
                </a:r>
              </a:p>
            </c:rich>
          </c:tx>
          <c:layout>
            <c:manualLayout>
              <c:xMode val="edge"/>
              <c:yMode val="edge"/>
              <c:x val="0.90166748366013072"/>
              <c:y val="0.84454145299145889"/>
            </c:manualLayout>
          </c:layout>
          <c:overlay val="0"/>
        </c:title>
        <c:numFmt formatCode="General" sourceLinked="1"/>
        <c:majorTickMark val="none"/>
        <c:minorTickMark val="out"/>
        <c:tickLblPos val="nextTo"/>
        <c:txPr>
          <a:bodyPr/>
          <a:lstStyle/>
          <a:p>
            <a:pPr>
              <a:defRPr sz="900" b="1"/>
            </a:pPr>
            <a:endParaRPr lang="fr-FR"/>
          </a:p>
        </c:txPr>
        <c:crossAx val="-1709500768"/>
        <c:crosses val="autoZero"/>
        <c:crossBetween val="midCat"/>
      </c:valAx>
      <c:valAx>
        <c:axId val="-1709500768"/>
        <c:scaling>
          <c:orientation val="minMax"/>
        </c:scaling>
        <c:delete val="0"/>
        <c:axPos val="l"/>
        <c:majorGridlines>
          <c:spPr>
            <a:ln w="6350">
              <a:solidFill>
                <a:schemeClr val="accent1"/>
              </a:solidFill>
              <a:prstDash val="sysDash"/>
            </a:ln>
          </c:spPr>
        </c:majorGridlines>
        <c:title>
          <c:tx>
            <c:rich>
              <a:bodyPr rot="-5400000" vert="horz"/>
              <a:lstStyle/>
              <a:p>
                <a:pPr>
                  <a:defRPr sz="1000" b="1"/>
                </a:pPr>
                <a:r>
                  <a:rPr lang="en-US" sz="1000" b="1"/>
                  <a:t>PRESTAZIONI</a:t>
                </a:r>
                <a:r>
                  <a:rPr lang="en-US" sz="1000" b="1" baseline="0"/>
                  <a:t> ECONOMICHE</a:t>
                </a:r>
              </a:p>
              <a:p>
                <a:pPr>
                  <a:defRPr sz="1000" b="1"/>
                </a:pPr>
                <a:r>
                  <a:rPr lang="en-US" sz="1000" b="1"/>
                  <a:t> (€)</a:t>
                </a:r>
              </a:p>
            </c:rich>
          </c:tx>
          <c:overlay val="0"/>
        </c:title>
        <c:numFmt formatCode="#,##0" sourceLinked="0"/>
        <c:majorTickMark val="out"/>
        <c:minorTickMark val="cross"/>
        <c:tickLblPos val="nextTo"/>
        <c:crossAx val="-1709511104"/>
        <c:crosses val="autoZero"/>
        <c:crossBetween val="midCat"/>
      </c:valAx>
      <c:spPr>
        <a:solidFill>
          <a:srgbClr val="FFFFCC"/>
        </a:solidFill>
        <a:ln>
          <a:solidFill>
            <a:schemeClr val="tx1"/>
          </a:solidFill>
        </a:ln>
      </c:spPr>
    </c:plotArea>
    <c:legend>
      <c:legendPos val="l"/>
      <c:layout>
        <c:manualLayout>
          <c:xMode val="edge"/>
          <c:yMode val="edge"/>
          <c:x val="0.82461805555556056"/>
          <c:y val="8.2990833333333347E-2"/>
          <c:w val="0.12094774305555572"/>
          <c:h val="0.31896250000000365"/>
        </c:manualLayout>
      </c:layout>
      <c:overlay val="0"/>
      <c:spPr>
        <a:solidFill>
          <a:schemeClr val="accent1">
            <a:lumMod val="40000"/>
            <a:lumOff val="60000"/>
          </a:schemeClr>
        </a:solidFill>
        <a:ln>
          <a:solidFill>
            <a:sysClr val="windowText" lastClr="000000"/>
          </a:solidFill>
        </a:ln>
        <a:effectLst>
          <a:outerShdw blurRad="50800" dist="38100" dir="8100000" algn="tr" rotWithShape="0">
            <a:prstClr val="black">
              <a:alpha val="40000"/>
            </a:prstClr>
          </a:outerShdw>
        </a:effectLst>
      </c:spPr>
      <c:txPr>
        <a:bodyPr/>
        <a:lstStyle/>
        <a:p>
          <a:pPr>
            <a:defRPr>
              <a:solidFill>
                <a:sysClr val="windowText" lastClr="000000"/>
              </a:solidFill>
            </a:defRPr>
          </a:pPr>
          <a:endParaRPr lang="fr-FR"/>
        </a:p>
      </c:txPr>
    </c:legend>
    <c:plotVisOnly val="1"/>
    <c:dispBlanksAs val="gap"/>
    <c:showDLblsOverMax val="0"/>
  </c:chart>
  <c:spPr>
    <a:solidFill>
      <a:schemeClr val="bg1">
        <a:lumMod val="85000"/>
      </a:schemeClr>
    </a:solidFill>
  </c:spPr>
  <c:printSettings>
    <c:headerFooter/>
    <c:pageMargins b="0.75000000000000699" l="0.70000000000000062" r="0.70000000000000062" t="0.75000000000000699"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jpeg"/><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8.jpeg"/><Relationship Id="rId1" Type="http://schemas.openxmlformats.org/officeDocument/2006/relationships/image" Target="../media/image5.png"/></Relationships>
</file>

<file path=xl/drawings/_rels/drawing15.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8.jpeg"/><Relationship Id="rId1" Type="http://schemas.openxmlformats.org/officeDocument/2006/relationships/image" Target="../media/image5.png"/></Relationships>
</file>

<file path=xl/drawings/_rels/drawing16.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9.jpeg"/><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739140</xdr:colOff>
      <xdr:row>1</xdr:row>
      <xdr:rowOff>91440</xdr:rowOff>
    </xdr:from>
    <xdr:to>
      <xdr:col>11</xdr:col>
      <xdr:colOff>478155</xdr:colOff>
      <xdr:row>57</xdr:row>
      <xdr:rowOff>161925</xdr:rowOff>
    </xdr:to>
    <xdr:sp macro="" textlink="">
      <xdr:nvSpPr>
        <xdr:cNvPr id="2" name="Rectangle 1">
          <a:extLst>
            <a:ext uri="{FF2B5EF4-FFF2-40B4-BE49-F238E27FC236}">
              <a16:creationId xmlns:a16="http://schemas.microsoft.com/office/drawing/2014/main" id="{C929709D-9801-4E26-A558-BAF85AB148D7}"/>
            </a:ext>
          </a:extLst>
        </xdr:cNvPr>
        <xdr:cNvSpPr>
          <a:spLocks noChangeArrowheads="1"/>
        </xdr:cNvSpPr>
      </xdr:nvSpPr>
      <xdr:spPr bwMode="auto">
        <a:xfrm>
          <a:off x="739140" y="272415"/>
          <a:ext cx="8435340" cy="10233660"/>
        </a:xfrm>
        <a:prstGeom prst="rect">
          <a:avLst/>
        </a:prstGeom>
        <a:solidFill>
          <a:srgbClr val="FFFFFF"/>
        </a:solidFill>
        <a:ln w="9525">
          <a:solidFill>
            <a:srgbClr val="000000"/>
          </a:solidFill>
          <a:miter lim="800000"/>
          <a:headEnd/>
          <a:tailEnd/>
        </a:ln>
      </xdr:spPr>
      <xdr:txBody>
        <a:bodyPr vertOverflow="clip" wrap="square" lIns="27432" tIns="22860" rIns="0" bIns="0" anchor="t"/>
        <a:lstStyle/>
        <a:p>
          <a:pPr algn="l" rtl="0">
            <a:lnSpc>
              <a:spcPts val="1100"/>
            </a:lnSpc>
            <a:defRPr sz="1000"/>
          </a:pPr>
          <a:r>
            <a:rPr lang="fr-FR" sz="1000" b="1" i="0" u="none" strike="noStrike" baseline="0">
              <a:solidFill>
                <a:srgbClr val="003366"/>
              </a:solidFill>
              <a:latin typeface="Arial"/>
              <a:cs typeface="Arial"/>
            </a:rPr>
            <a:t>          This file contains the following tabs (adapted from DEXiFV):</a:t>
          </a:r>
        </a:p>
        <a:p>
          <a:pPr algn="l" rtl="0">
            <a:lnSpc>
              <a:spcPts val="1100"/>
            </a:lnSpc>
            <a:defRPr sz="1000"/>
          </a:pPr>
          <a:endParaRPr lang="fr-FR" sz="1000" b="0" i="0" u="none" strike="noStrike" baseline="0">
            <a:solidFill>
              <a:srgbClr val="000000"/>
            </a:solidFill>
            <a:latin typeface="Arial"/>
            <a:cs typeface="Arial"/>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fr-FR" sz="1000" b="0" i="0" u="none" strike="noStrike" baseline="0">
              <a:solidFill>
                <a:srgbClr val="000000"/>
              </a:solidFill>
              <a:latin typeface="Arial"/>
              <a:ea typeface="+mn-ea"/>
              <a:cs typeface="Arial"/>
            </a:rPr>
            <a:t>- This Excel File gathers cells that require information from the user and cells that will be automatically filled. Please refer to the color code and only fill yellow cells. You might want to mofify other cells, but please, if so, don't forget to precise the reasons of your changes (inapropriate thresholds for your case study, inapropriates scales, etc.)</a:t>
          </a:r>
        </a:p>
        <a:p>
          <a:pPr algn="l" rtl="0">
            <a:lnSpc>
              <a:spcPts val="1100"/>
            </a:lnSpc>
            <a:defRPr sz="1000"/>
          </a:pPr>
          <a:endParaRPr lang="fr-FR" sz="1000" b="0" i="0" u="none" strike="noStrike" baseline="0">
            <a:solidFill>
              <a:srgbClr val="000000"/>
            </a:solidFill>
            <a:latin typeface="Arial"/>
            <a:cs typeface="Arial"/>
          </a:endParaRPr>
        </a:p>
        <a:p>
          <a:pPr algn="l" rtl="0">
            <a:lnSpc>
              <a:spcPts val="1100"/>
            </a:lnSpc>
            <a:defRPr sz="1000"/>
          </a:pPr>
          <a:r>
            <a:rPr lang="fr-FR" sz="1000" b="0" i="0" u="none" strike="noStrike" baseline="0">
              <a:solidFill>
                <a:srgbClr val="000000"/>
              </a:solidFill>
              <a:latin typeface="Arial"/>
              <a:cs typeface="Arial"/>
            </a:rPr>
            <a:t>- </a:t>
          </a:r>
          <a:r>
            <a:rPr lang="fr-FR" sz="1000" b="1" i="0" u="sng" strike="noStrike" baseline="0">
              <a:solidFill>
                <a:srgbClr val="000000"/>
              </a:solidFill>
              <a:latin typeface="Arial"/>
              <a:cs typeface="Arial"/>
            </a:rPr>
            <a:t>System description templates</a:t>
          </a:r>
          <a:r>
            <a:rPr lang="fr-FR" sz="1000" b="0" i="0" u="none" strike="noStrike" baseline="0">
              <a:solidFill>
                <a:srgbClr val="000000"/>
              </a:solidFill>
              <a:latin typeface="Arial"/>
              <a:cs typeface="Arial"/>
            </a:rPr>
            <a:t>. In this tab you </a:t>
          </a:r>
          <a:r>
            <a:rPr lang="fr-FR" sz="1000" b="0" i="0" u="none" strike="noStrike" baseline="0">
              <a:solidFill>
                <a:srgbClr val="000000"/>
              </a:solidFill>
              <a:latin typeface="Arial"/>
              <a:ea typeface="+mn-ea"/>
              <a:cs typeface="Arial"/>
            </a:rPr>
            <a:t>will provide a general description of the context and specific information about the system detailling context, design and operation. A given template will be specific to a given system. If you want to evaluate different systems, you should fill different templates.</a:t>
          </a:r>
        </a:p>
        <a:p>
          <a:pPr rtl="0"/>
          <a:endParaRPr lang="fr-FR" sz="1000">
            <a:effectLst/>
          </a:endParaRPr>
        </a:p>
        <a:p>
          <a:pPr rtl="0"/>
          <a:r>
            <a:rPr lang="fr-FR" sz="1100" b="1" u="sng">
              <a:effectLst/>
            </a:rPr>
            <a:t>GREY</a:t>
          </a:r>
          <a:r>
            <a:rPr lang="fr-FR" sz="1100" b="1" u="sng" baseline="0">
              <a:effectLst/>
            </a:rPr>
            <a:t> SHEETS (RELATIVE TO DEXI MODEL)</a:t>
          </a:r>
          <a:endParaRPr lang="fr-FR" sz="1100" b="1" u="sng">
            <a:effectLst/>
          </a:endParaRPr>
        </a:p>
        <a:p>
          <a:pPr rtl="0"/>
          <a:endParaRPr lang="fr-FR" sz="1000">
            <a:effectLst/>
          </a:endParaRPr>
        </a:p>
        <a:p>
          <a:pPr rtl="0" eaLnBrk="1" fontAlgn="auto" latinLnBrk="0" hangingPunct="1"/>
          <a:r>
            <a:rPr lang="fr-FR" sz="1000" b="0" i="0" u="none" strike="noStrike" baseline="0">
              <a:solidFill>
                <a:srgbClr val="000000"/>
              </a:solidFill>
              <a:latin typeface="Arial"/>
              <a:ea typeface="+mn-ea"/>
              <a:cs typeface="Arial"/>
            </a:rPr>
            <a:t>- </a:t>
          </a:r>
          <a:r>
            <a:rPr lang="fr-FR" sz="1000" b="1" i="0" u="sng" strike="noStrike" baseline="0">
              <a:solidFill>
                <a:srgbClr val="000000"/>
              </a:solidFill>
              <a:latin typeface="Arial"/>
              <a:ea typeface="+mn-ea"/>
              <a:cs typeface="Arial"/>
            </a:rPr>
            <a:t>Input data: </a:t>
          </a:r>
          <a:r>
            <a:rPr lang="fr-FR" sz="1000" b="0" i="0" u="none" strike="noStrike" baseline="0">
              <a:solidFill>
                <a:srgbClr val="000000"/>
              </a:solidFill>
              <a:latin typeface="Arial"/>
              <a:ea typeface="+mn-ea"/>
              <a:cs typeface="Arial"/>
            </a:rPr>
            <a:t>In this tab you will provide all the input data needed to calculate indicators. Most of them require quantitative inputs. The others give choices between different qualitative options. For some of them, additional sheets are proposed to help to calculate the appropriate value. Thanks to these entries, other values or automatically calculated. The calculation of indicators will be automatically filled. A given template will be specific to a given system. If you want to evaluate different systems, you should fill different templates.The "comments" column should be filled with explanations of choices, especially when there are differences. </a:t>
          </a:r>
        </a:p>
        <a:p>
          <a:pPr rtl="0" eaLnBrk="1" fontAlgn="auto" latinLnBrk="0" hangingPunct="1"/>
          <a:endParaRPr lang="fr-FR" sz="1000" b="0" i="0" u="none" strike="noStrike" baseline="0">
            <a:solidFill>
              <a:srgbClr val="000000"/>
            </a:solidFill>
            <a:latin typeface="Arial"/>
            <a:ea typeface="+mn-ea"/>
            <a:cs typeface="Arial"/>
          </a:endParaRPr>
        </a:p>
        <a:p>
          <a:pPr marL="0" marR="0" lvl="0" indent="0" defTabSz="914400" rtl="0" eaLnBrk="1" fontAlgn="auto" latinLnBrk="0" hangingPunct="1">
            <a:lnSpc>
              <a:spcPct val="100000"/>
            </a:lnSpc>
            <a:spcBef>
              <a:spcPts val="0"/>
            </a:spcBef>
            <a:spcAft>
              <a:spcPts val="0"/>
            </a:spcAft>
            <a:buClrTx/>
            <a:buSzTx/>
            <a:buFontTx/>
            <a:buNone/>
            <a:tabLst/>
            <a:defRPr/>
          </a:pPr>
          <a:r>
            <a:rPr lang="fr-FR" sz="1000" b="0" i="0" u="none" strike="noStrike" baseline="0">
              <a:solidFill>
                <a:srgbClr val="000000"/>
              </a:solidFill>
              <a:latin typeface="Arial"/>
              <a:ea typeface="+mn-ea"/>
              <a:cs typeface="Arial"/>
            </a:rPr>
            <a:t> - </a:t>
          </a:r>
          <a:r>
            <a:rPr lang="fr-FR" sz="1000" b="1" i="0" u="sng" strike="noStrike" baseline="0">
              <a:solidFill>
                <a:srgbClr val="000000"/>
              </a:solidFill>
              <a:latin typeface="Arial"/>
              <a:ea typeface="+mn-ea"/>
              <a:cs typeface="Arial"/>
            </a:rPr>
            <a:t>Help Sheets: </a:t>
          </a:r>
          <a:r>
            <a:rPr lang="fr-FR" sz="1000" b="0" i="0" u="none" strike="noStrike" baseline="0">
              <a:solidFill>
                <a:srgbClr val="000000"/>
              </a:solidFill>
              <a:latin typeface="Arial"/>
              <a:ea typeface="+mn-ea"/>
              <a:cs typeface="Arial"/>
            </a:rPr>
            <a:t>In these tabs you will find more information about some inputs that can be more complex to estimate. You can also reach the tabs from the inputs' list clicking on specific links.</a:t>
          </a:r>
        </a:p>
        <a:p>
          <a:pPr rtl="0"/>
          <a:endParaRPr lang="fr-FR" sz="1000" b="0" i="0" u="none" strike="noStrike" baseline="0">
            <a:solidFill>
              <a:srgbClr val="000000"/>
            </a:solidFill>
            <a:latin typeface="Arial"/>
            <a:ea typeface="+mn-ea"/>
            <a:cs typeface="Arial"/>
          </a:endParaRPr>
        </a:p>
        <a:p>
          <a:pPr rtl="0" eaLnBrk="1" fontAlgn="auto" latinLnBrk="0" hangingPunct="1"/>
          <a:r>
            <a:rPr lang="fr-FR" sz="1000" b="0" i="0" u="none" strike="noStrike" baseline="0">
              <a:solidFill>
                <a:srgbClr val="000000"/>
              </a:solidFill>
              <a:latin typeface="Arial"/>
              <a:ea typeface="+mn-ea"/>
              <a:cs typeface="Arial"/>
            </a:rPr>
            <a:t>- </a:t>
          </a:r>
          <a:r>
            <a:rPr lang="fr-FR" sz="1000" b="1" i="0" u="sng" strike="noStrike" baseline="0">
              <a:solidFill>
                <a:srgbClr val="000000"/>
              </a:solidFill>
              <a:latin typeface="Arial"/>
              <a:ea typeface="+mn-ea"/>
              <a:cs typeface="Arial"/>
            </a:rPr>
            <a:t>Secondary data calculation: </a:t>
          </a:r>
          <a:r>
            <a:rPr lang="fr-FR" sz="1000" b="0" i="0" u="none" strike="noStrike" baseline="0">
              <a:solidFill>
                <a:srgbClr val="000000"/>
              </a:solidFill>
              <a:latin typeface="Arial"/>
              <a:ea typeface="+mn-ea"/>
              <a:cs typeface="Arial"/>
            </a:rPr>
            <a:t>This tab is automatically filled with data enterred in "Input data". Thanks to these entries, other values or automatically calculated. </a:t>
          </a:r>
        </a:p>
        <a:p>
          <a:pPr algn="l" rtl="0">
            <a:lnSpc>
              <a:spcPts val="1100"/>
            </a:lnSpc>
            <a:defRPr sz="1000"/>
          </a:pPr>
          <a:endParaRPr lang="fr-FR" sz="1000" b="0" i="0" u="none" strike="noStrike" baseline="0">
            <a:solidFill>
              <a:srgbClr val="000000"/>
            </a:solidFill>
            <a:latin typeface="Arial"/>
            <a:cs typeface="Arial"/>
          </a:endParaRPr>
        </a:p>
        <a:p>
          <a:pPr algn="l" rtl="0">
            <a:lnSpc>
              <a:spcPts val="1100"/>
            </a:lnSpc>
            <a:defRPr sz="1000"/>
          </a:pPr>
          <a:r>
            <a:rPr lang="fr-FR" sz="1000" b="0" i="0" u="none" strike="noStrike" baseline="0">
              <a:solidFill>
                <a:srgbClr val="000000"/>
              </a:solidFill>
              <a:latin typeface="Arial"/>
              <a:cs typeface="Arial"/>
            </a:rPr>
            <a:t>- </a:t>
          </a:r>
          <a:r>
            <a:rPr lang="fr-FR" sz="1000" b="1" i="0" u="sng" strike="noStrike" baseline="0">
              <a:solidFill>
                <a:srgbClr val="000000"/>
              </a:solidFill>
              <a:latin typeface="Arial"/>
              <a:cs typeface="Arial"/>
            </a:rPr>
            <a:t>Indicators:</a:t>
          </a:r>
          <a:r>
            <a:rPr lang="fr-FR" sz="1000" b="0" i="0" u="none" strike="noStrike" baseline="0">
              <a:solidFill>
                <a:srgbClr val="000000"/>
              </a:solidFill>
              <a:latin typeface="Arial"/>
              <a:cs typeface="Arial"/>
            </a:rPr>
            <a:t> This tab is automatically filled thanks to the values entered in the "Input data" tab (calculation column). Then, for each indicator, an automatic calculation provides the </a:t>
          </a:r>
          <a:r>
            <a:rPr lang="fr-FR" sz="1000" b="0" i="0" u="none" strike="noStrike" baseline="0">
              <a:solidFill>
                <a:srgbClr val="000000"/>
              </a:solidFill>
              <a:latin typeface="Arial"/>
              <a:ea typeface="+mn-ea"/>
              <a:cs typeface="Arial"/>
            </a:rPr>
            <a:t>scale corresponding to the selected thresholds. It is however possible to modify the calculated scale if necessary. If thresholds values do not fit you, it can also be changed. If so, please indicate your modifications in the "comments" tab. </a:t>
          </a:r>
        </a:p>
        <a:p>
          <a:pPr algn="l" rtl="0">
            <a:lnSpc>
              <a:spcPts val="1000"/>
            </a:lnSpc>
            <a:defRPr sz="1000"/>
          </a:pPr>
          <a:endParaRPr lang="fr-FR" sz="1000" b="0" i="0" u="none" strike="noStrike" baseline="0">
            <a:solidFill>
              <a:srgbClr val="000000"/>
            </a:solidFill>
            <a:latin typeface="Arial"/>
            <a:cs typeface="Arial"/>
          </a:endParaRPr>
        </a:p>
        <a:p>
          <a:pPr algn="l" rtl="0">
            <a:lnSpc>
              <a:spcPts val="1100"/>
            </a:lnSpc>
            <a:defRPr sz="1000"/>
          </a:pPr>
          <a:endParaRPr lang="fr-FR" sz="1000" b="0" i="0" u="none" strike="noStrike" baseline="0">
            <a:solidFill>
              <a:srgbClr val="000000"/>
            </a:solidFill>
            <a:latin typeface="Arial"/>
            <a:cs typeface="Arial"/>
          </a:endParaRPr>
        </a:p>
        <a:p>
          <a:pPr algn="l" rtl="0">
            <a:lnSpc>
              <a:spcPts val="1000"/>
            </a:lnSpc>
            <a:defRPr sz="1000"/>
          </a:pPr>
          <a:r>
            <a:rPr lang="fr-FR" sz="1000" b="0" i="0" u="none" strike="noStrike" baseline="0">
              <a:solidFill>
                <a:srgbClr val="000000"/>
              </a:solidFill>
              <a:latin typeface="Arial"/>
              <a:cs typeface="Arial"/>
            </a:rPr>
            <a:t>- </a:t>
          </a:r>
          <a:r>
            <a:rPr lang="fr-FR" sz="1000" b="1" i="0" u="sng" strike="noStrike" baseline="0">
              <a:solidFill>
                <a:srgbClr val="000000"/>
              </a:solidFill>
              <a:latin typeface="Arial"/>
              <a:cs typeface="Arial"/>
            </a:rPr>
            <a:t>DEXi import file: </a:t>
          </a:r>
          <a:r>
            <a:rPr lang="fr-FR" sz="1000" b="0" i="0" u="none" strike="noStrike" baseline="0">
              <a:solidFill>
                <a:srgbClr val="000000"/>
              </a:solidFill>
              <a:latin typeface="Arial"/>
              <a:cs typeface="Arial"/>
            </a:rPr>
            <a:t>This tab is automatically filled according to the information entered in the "Indicators" tab. </a:t>
          </a:r>
        </a:p>
        <a:p>
          <a:pPr algn="l" rtl="0">
            <a:lnSpc>
              <a:spcPts val="1000"/>
            </a:lnSpc>
            <a:defRPr sz="1000"/>
          </a:pPr>
          <a:r>
            <a:rPr lang="fr-FR" sz="1000" b="1" i="0" u="sng" strike="noStrike" baseline="0">
              <a:solidFill>
                <a:sysClr val="windowText" lastClr="000000"/>
              </a:solidFill>
              <a:latin typeface="Arial"/>
              <a:cs typeface="Arial"/>
            </a:rPr>
            <a:t>A few indications:</a:t>
          </a:r>
        </a:p>
        <a:p>
          <a:pPr algn="l" rtl="0">
            <a:lnSpc>
              <a:spcPts val="1000"/>
            </a:lnSpc>
            <a:defRPr sz="1000"/>
          </a:pPr>
          <a:endParaRPr lang="fr-FR" sz="1000" b="0" i="0" u="none" strike="noStrike" baseline="0">
            <a:solidFill>
              <a:sysClr val="windowText" lastClr="000000"/>
            </a:solidFill>
            <a:latin typeface="Arial"/>
            <a:cs typeface="Arial"/>
          </a:endParaRPr>
        </a:p>
        <a:p>
          <a:pPr algn="l" rtl="0">
            <a:lnSpc>
              <a:spcPts val="1100"/>
            </a:lnSpc>
            <a:defRPr sz="1000"/>
          </a:pPr>
          <a:endParaRPr lang="fr-FR" sz="1000" b="0" i="0" u="none" strike="noStrike" baseline="0">
            <a:solidFill>
              <a:srgbClr val="000000"/>
            </a:solidFill>
            <a:latin typeface="Arial"/>
            <a:cs typeface="Arial"/>
          </a:endParaRPr>
        </a:p>
        <a:p>
          <a:pPr rtl="0"/>
          <a:r>
            <a:rPr lang="fr-FR" sz="1100" b="1" u="sng" baseline="0">
              <a:effectLst/>
              <a:latin typeface="+mn-lt"/>
              <a:ea typeface="+mn-ea"/>
              <a:cs typeface="+mn-cs"/>
            </a:rPr>
            <a:t>BLUE SHEETS (RELATIVE TO LCA MODEL)</a:t>
          </a:r>
        </a:p>
        <a:p>
          <a:pPr rtl="0"/>
          <a:endParaRPr lang="fr-FR" sz="1100" b="1" u="sng" baseline="0">
            <a:effectLst/>
            <a:latin typeface="+mn-lt"/>
            <a:ea typeface="+mn-ea"/>
            <a:cs typeface="+mn-cs"/>
          </a:endParaRPr>
        </a:p>
        <a:p>
          <a:pPr rtl="0"/>
          <a:r>
            <a:rPr lang="fr-FR" sz="1100" b="0" u="none" baseline="0">
              <a:effectLst/>
              <a:latin typeface="+mn-lt"/>
              <a:ea typeface="+mn-ea"/>
              <a:cs typeface="+mn-cs"/>
            </a:rPr>
            <a:t>- The aquaculture systems will be described by 4 compartments and one specific sheet should be completed for each of them:</a:t>
          </a:r>
        </a:p>
        <a:p>
          <a:pPr rtl="0"/>
          <a:endParaRPr lang="fr-FR" sz="1000">
            <a:effectLst/>
          </a:endParaRPr>
        </a:p>
        <a:p>
          <a:pPr algn="l" rtl="0">
            <a:lnSpc>
              <a:spcPts val="1000"/>
            </a:lnSpc>
            <a:defRPr sz="1000"/>
          </a:pPr>
          <a:endParaRPr lang="fr-FR" sz="1000" b="0" i="0" u="none" strike="noStrike" baseline="0">
            <a:solidFill>
              <a:srgbClr val="000000"/>
            </a:solidFill>
            <a:latin typeface="Arial"/>
            <a:cs typeface="Arial"/>
          </a:endParaRPr>
        </a:p>
        <a:p>
          <a:pPr algn="l" rtl="0">
            <a:lnSpc>
              <a:spcPts val="1100"/>
            </a:lnSpc>
            <a:defRPr sz="1000"/>
          </a:pPr>
          <a:endParaRPr lang="fr-FR" sz="1000" b="0" i="0" u="none" strike="noStrike" baseline="0">
            <a:solidFill>
              <a:srgbClr val="000000"/>
            </a:solidFill>
            <a:latin typeface="Arial"/>
            <a:cs typeface="Arial"/>
          </a:endParaRPr>
        </a:p>
        <a:p>
          <a:pPr algn="l" rtl="0">
            <a:lnSpc>
              <a:spcPts val="1000"/>
            </a:lnSpc>
            <a:defRPr sz="1000"/>
          </a:pPr>
          <a:endParaRPr lang="fr-FR" sz="1000" b="0" i="0" u="none" strike="noStrike" baseline="0">
            <a:solidFill>
              <a:srgbClr val="000000"/>
            </a:solidFill>
            <a:latin typeface="Arial"/>
            <a:cs typeface="Arial"/>
          </a:endParaRPr>
        </a:p>
        <a:p>
          <a:pPr algn="l" rtl="0">
            <a:lnSpc>
              <a:spcPts val="1100"/>
            </a:lnSpc>
            <a:defRPr sz="1000"/>
          </a:pPr>
          <a:endParaRPr lang="fr-FR" sz="1000" b="0" i="0" u="none" strike="noStrike" baseline="0">
            <a:solidFill>
              <a:srgbClr val="000000"/>
            </a:solidFill>
            <a:latin typeface="Arial"/>
            <a:cs typeface="Arial"/>
          </a:endParaRPr>
        </a:p>
        <a:p>
          <a:pPr algn="l" rtl="0">
            <a:lnSpc>
              <a:spcPts val="1000"/>
            </a:lnSpc>
            <a:defRPr sz="1000"/>
          </a:pPr>
          <a:endParaRPr lang="fr-FR" sz="1000" b="0" i="0" u="none" strike="noStrike" baseline="0">
            <a:solidFill>
              <a:srgbClr val="000000"/>
            </a:solidFill>
            <a:latin typeface="Arial"/>
            <a:cs typeface="Arial"/>
          </a:endParaRPr>
        </a:p>
        <a:p>
          <a:pPr algn="l" rtl="0">
            <a:lnSpc>
              <a:spcPts val="1100"/>
            </a:lnSpc>
            <a:defRPr sz="1000"/>
          </a:pPr>
          <a:endParaRPr lang="fr-FR" sz="1000" b="0" i="0" u="none" strike="noStrike" baseline="0">
            <a:solidFill>
              <a:srgbClr val="000000"/>
            </a:solidFill>
            <a:latin typeface="Arial"/>
            <a:cs typeface="Arial"/>
          </a:endParaRPr>
        </a:p>
        <a:p>
          <a:pPr algn="l" rtl="0">
            <a:lnSpc>
              <a:spcPts val="1000"/>
            </a:lnSpc>
            <a:defRPr sz="1000"/>
          </a:pPr>
          <a:endParaRPr lang="fr-FR" sz="1000" b="0" i="0" u="none" strike="noStrike" baseline="0">
            <a:solidFill>
              <a:srgbClr val="000000"/>
            </a:solidFill>
            <a:latin typeface="Arial"/>
            <a:cs typeface="Arial"/>
          </a:endParaRPr>
        </a:p>
        <a:p>
          <a:pPr algn="l" rtl="0">
            <a:lnSpc>
              <a:spcPts val="1100"/>
            </a:lnSpc>
            <a:defRPr sz="1000"/>
          </a:pPr>
          <a:endParaRPr lang="fr-FR" sz="1000" b="0" i="0" u="none" strike="noStrike" baseline="0">
            <a:solidFill>
              <a:srgbClr val="000000"/>
            </a:solidFill>
            <a:latin typeface="Arial"/>
            <a:cs typeface="Arial"/>
          </a:endParaRPr>
        </a:p>
        <a:p>
          <a:pPr algn="l" rtl="0">
            <a:lnSpc>
              <a:spcPts val="1000"/>
            </a:lnSpc>
            <a:defRPr sz="1000"/>
          </a:pPr>
          <a:r>
            <a:rPr lang="fr-FR" sz="1000" b="0" i="0" u="none" strike="noStrike" baseline="0">
              <a:solidFill>
                <a:srgbClr val="000000"/>
              </a:solidFill>
              <a:latin typeface="Arial"/>
              <a:cs typeface="Arial"/>
            </a:rPr>
            <a:t>- For each compartment, the collected information will be organised between 5 items: </a:t>
          </a:r>
        </a:p>
        <a:p>
          <a:pPr algn="l" rtl="0">
            <a:lnSpc>
              <a:spcPts val="1000"/>
            </a:lnSpc>
            <a:defRPr sz="1000"/>
          </a:pPr>
          <a:endParaRPr lang="fr-FR" sz="1000" b="0" i="0" u="none" strike="noStrike" baseline="0">
            <a:solidFill>
              <a:srgbClr val="000000"/>
            </a:solidFill>
            <a:latin typeface="Arial"/>
            <a:cs typeface="Arial"/>
          </a:endParaRPr>
        </a:p>
        <a:p>
          <a:pPr algn="l" rtl="0">
            <a:lnSpc>
              <a:spcPts val="1000"/>
            </a:lnSpc>
            <a:defRPr sz="1000"/>
          </a:pPr>
          <a:endParaRPr lang="fr-FR" sz="1000" b="0" i="0" u="none" strike="noStrike" baseline="0">
            <a:solidFill>
              <a:srgbClr val="000000"/>
            </a:solidFill>
            <a:latin typeface="Arial"/>
            <a:cs typeface="Arial"/>
          </a:endParaRPr>
        </a:p>
        <a:p>
          <a:pPr algn="l" rtl="0">
            <a:lnSpc>
              <a:spcPts val="1000"/>
            </a:lnSpc>
            <a:defRPr sz="1000"/>
          </a:pPr>
          <a:endParaRPr lang="fr-FR" sz="1000" b="0" i="0" u="none" strike="noStrike" baseline="0">
            <a:solidFill>
              <a:srgbClr val="000000"/>
            </a:solidFill>
            <a:latin typeface="Arial"/>
            <a:cs typeface="Arial"/>
          </a:endParaRPr>
        </a:p>
        <a:p>
          <a:pPr algn="l" rtl="0">
            <a:lnSpc>
              <a:spcPts val="1000"/>
            </a:lnSpc>
            <a:defRPr sz="1000"/>
          </a:pPr>
          <a:endParaRPr lang="fr-FR" sz="1000" b="0" i="0" u="none" strike="noStrike" baseline="0">
            <a:solidFill>
              <a:srgbClr val="000000"/>
            </a:solidFill>
            <a:latin typeface="Arial"/>
            <a:cs typeface="Arial"/>
          </a:endParaRPr>
        </a:p>
        <a:p>
          <a:pPr algn="l" rtl="0">
            <a:lnSpc>
              <a:spcPts val="1000"/>
            </a:lnSpc>
            <a:defRPr sz="1000"/>
          </a:pPr>
          <a:endParaRPr lang="fr-FR" sz="1000" b="0" i="0" u="none" strike="noStrike" baseline="0">
            <a:solidFill>
              <a:srgbClr val="000000"/>
            </a:solidFill>
            <a:latin typeface="Arial"/>
            <a:cs typeface="Arial"/>
          </a:endParaRPr>
        </a:p>
        <a:p>
          <a:pPr algn="l" rtl="0">
            <a:lnSpc>
              <a:spcPts val="1000"/>
            </a:lnSpc>
            <a:defRPr sz="1000"/>
          </a:pPr>
          <a:endParaRPr lang="fr-FR" sz="1000" b="0" i="0" u="none" strike="noStrike" baseline="0">
            <a:solidFill>
              <a:srgbClr val="000000"/>
            </a:solidFill>
            <a:latin typeface="Arial"/>
            <a:cs typeface="Arial"/>
          </a:endParaRPr>
        </a:p>
        <a:p>
          <a:pPr algn="l" rtl="0">
            <a:lnSpc>
              <a:spcPts val="1000"/>
            </a:lnSpc>
            <a:defRPr sz="1000"/>
          </a:pPr>
          <a:endParaRPr lang="fr-FR" sz="1000" b="0" i="0" u="none" strike="noStrike" baseline="0">
            <a:solidFill>
              <a:srgbClr val="000000"/>
            </a:solidFill>
            <a:latin typeface="Arial"/>
            <a:cs typeface="Arial"/>
          </a:endParaRPr>
        </a:p>
        <a:p>
          <a:pPr algn="l" rtl="0">
            <a:lnSpc>
              <a:spcPts val="1000"/>
            </a:lnSpc>
            <a:defRPr sz="1000"/>
          </a:pPr>
          <a:endParaRPr lang="fr-FR" sz="1000" b="0" i="0" u="none" strike="noStrike" baseline="0">
            <a:solidFill>
              <a:srgbClr val="000000"/>
            </a:solidFill>
            <a:latin typeface="Arial"/>
            <a:cs typeface="Arial"/>
          </a:endParaRPr>
        </a:p>
        <a:p>
          <a:pPr algn="l" rtl="0">
            <a:lnSpc>
              <a:spcPts val="1000"/>
            </a:lnSpc>
            <a:defRPr sz="1000"/>
          </a:pPr>
          <a:endParaRPr lang="fr-FR" sz="1000" b="0" i="0" u="none" strike="noStrike" baseline="0">
            <a:solidFill>
              <a:srgbClr val="000000"/>
            </a:solidFill>
            <a:latin typeface="Arial"/>
            <a:cs typeface="Arial"/>
          </a:endParaRPr>
        </a:p>
        <a:p>
          <a:pPr algn="l" rtl="0">
            <a:lnSpc>
              <a:spcPts val="1000"/>
            </a:lnSpc>
            <a:defRPr sz="1000"/>
          </a:pPr>
          <a:endParaRPr lang="fr-FR" sz="1000" b="0" i="0" u="none" strike="noStrike" baseline="0">
            <a:solidFill>
              <a:srgbClr val="000000"/>
            </a:solidFill>
            <a:latin typeface="Arial"/>
            <a:cs typeface="Arial"/>
          </a:endParaRPr>
        </a:p>
        <a:p>
          <a:pPr algn="l" rtl="0">
            <a:lnSpc>
              <a:spcPts val="1000"/>
            </a:lnSpc>
            <a:defRPr sz="1000"/>
          </a:pPr>
          <a:r>
            <a:rPr lang="fr-FR" sz="1000" b="0" i="0" u="none" strike="noStrike" baseline="0">
              <a:solidFill>
                <a:srgbClr val="000000"/>
              </a:solidFill>
              <a:latin typeface="Arial"/>
              <a:cs typeface="Arial"/>
            </a:rPr>
            <a:t>- For each items, each element is fully described by complete the required data, as for example for products:</a:t>
          </a:r>
        </a:p>
        <a:p>
          <a:pPr algn="l" rtl="0">
            <a:lnSpc>
              <a:spcPts val="1000"/>
            </a:lnSpc>
            <a:defRPr sz="1000"/>
          </a:pPr>
          <a:endParaRPr lang="fr-FR" sz="1000" b="0" i="0" u="none" strike="noStrike" baseline="0">
            <a:solidFill>
              <a:srgbClr val="000000"/>
            </a:solidFill>
            <a:latin typeface="Arial"/>
            <a:cs typeface="Arial"/>
          </a:endParaRPr>
        </a:p>
        <a:p>
          <a:pPr algn="l" rtl="0">
            <a:lnSpc>
              <a:spcPts val="1000"/>
            </a:lnSpc>
            <a:defRPr sz="1000"/>
          </a:pPr>
          <a:endParaRPr lang="fr-FR" sz="1000" b="0" i="0" u="none" strike="noStrike" baseline="0">
            <a:solidFill>
              <a:srgbClr val="000000"/>
            </a:solidFill>
            <a:latin typeface="Arial"/>
            <a:cs typeface="Arial"/>
          </a:endParaRPr>
        </a:p>
      </xdr:txBody>
    </xdr:sp>
    <xdr:clientData/>
  </xdr:twoCellAnchor>
  <xdr:twoCellAnchor editAs="oneCell">
    <xdr:from>
      <xdr:col>2</xdr:col>
      <xdr:colOff>0</xdr:colOff>
      <xdr:row>37</xdr:row>
      <xdr:rowOff>9525</xdr:rowOff>
    </xdr:from>
    <xdr:to>
      <xdr:col>10</xdr:col>
      <xdr:colOff>190500</xdr:colOff>
      <xdr:row>42</xdr:row>
      <xdr:rowOff>163830</xdr:rowOff>
    </xdr:to>
    <xdr:pic>
      <xdr:nvPicPr>
        <xdr:cNvPr id="3" name="Image 2">
          <a:extLst>
            <a:ext uri="{FF2B5EF4-FFF2-40B4-BE49-F238E27FC236}">
              <a16:creationId xmlns:a16="http://schemas.microsoft.com/office/drawing/2014/main" id="{6832903F-1B2A-497B-8C3B-FCBB234C8B29}"/>
            </a:ext>
          </a:extLst>
        </xdr:cNvPr>
        <xdr:cNvPicPr>
          <a:picLocks noChangeAspect="1"/>
        </xdr:cNvPicPr>
      </xdr:nvPicPr>
      <xdr:blipFill rotWithShape="1">
        <a:blip xmlns:r="http://schemas.openxmlformats.org/officeDocument/2006/relationships" r:embed="rId1"/>
        <a:srcRect l="14027" t="65245" r="543"/>
        <a:stretch/>
      </xdr:blipFill>
      <xdr:spPr>
        <a:xfrm>
          <a:off x="1447800" y="7086600"/>
          <a:ext cx="6029325" cy="1106805"/>
        </a:xfrm>
        <a:prstGeom prst="rect">
          <a:avLst/>
        </a:prstGeom>
      </xdr:spPr>
    </xdr:pic>
    <xdr:clientData/>
  </xdr:twoCellAnchor>
  <xdr:twoCellAnchor editAs="oneCell">
    <xdr:from>
      <xdr:col>2</xdr:col>
      <xdr:colOff>26670</xdr:colOff>
      <xdr:row>30</xdr:row>
      <xdr:rowOff>24765</xdr:rowOff>
    </xdr:from>
    <xdr:to>
      <xdr:col>10</xdr:col>
      <xdr:colOff>277796</xdr:colOff>
      <xdr:row>35</xdr:row>
      <xdr:rowOff>24765</xdr:rowOff>
    </xdr:to>
    <xdr:pic>
      <xdr:nvPicPr>
        <xdr:cNvPr id="4" name="Image 3">
          <a:extLst>
            <a:ext uri="{FF2B5EF4-FFF2-40B4-BE49-F238E27FC236}">
              <a16:creationId xmlns:a16="http://schemas.microsoft.com/office/drawing/2014/main" id="{901C3156-12F5-4567-87AC-4DBE753536E2}"/>
            </a:ext>
          </a:extLst>
        </xdr:cNvPr>
        <xdr:cNvPicPr>
          <a:picLocks noChangeAspect="1"/>
        </xdr:cNvPicPr>
      </xdr:nvPicPr>
      <xdr:blipFill rotWithShape="1">
        <a:blip xmlns:r="http://schemas.openxmlformats.org/officeDocument/2006/relationships" r:embed="rId1"/>
        <a:srcRect l="14076" t="15602" b="55432"/>
        <a:stretch/>
      </xdr:blipFill>
      <xdr:spPr>
        <a:xfrm>
          <a:off x="1474470" y="5768340"/>
          <a:ext cx="6089951" cy="952500"/>
        </a:xfrm>
        <a:prstGeom prst="rect">
          <a:avLst/>
        </a:prstGeom>
      </xdr:spPr>
    </xdr:pic>
    <xdr:clientData/>
  </xdr:twoCellAnchor>
  <xdr:twoCellAnchor editAs="oneCell">
    <xdr:from>
      <xdr:col>1</xdr:col>
      <xdr:colOff>681990</xdr:colOff>
      <xdr:row>44</xdr:row>
      <xdr:rowOff>182880</xdr:rowOff>
    </xdr:from>
    <xdr:to>
      <xdr:col>10</xdr:col>
      <xdr:colOff>258244</xdr:colOff>
      <xdr:row>50</xdr:row>
      <xdr:rowOff>9408</xdr:rowOff>
    </xdr:to>
    <xdr:pic>
      <xdr:nvPicPr>
        <xdr:cNvPr id="5" name="Image 4">
          <a:extLst>
            <a:ext uri="{FF2B5EF4-FFF2-40B4-BE49-F238E27FC236}">
              <a16:creationId xmlns:a16="http://schemas.microsoft.com/office/drawing/2014/main" id="{ADF688B7-C7F1-48C5-A7F2-E3F9BE4AB2F4}"/>
            </a:ext>
          </a:extLst>
        </xdr:cNvPr>
        <xdr:cNvPicPr>
          <a:picLocks noChangeAspect="1"/>
        </xdr:cNvPicPr>
      </xdr:nvPicPr>
      <xdr:blipFill>
        <a:blip xmlns:r="http://schemas.openxmlformats.org/officeDocument/2006/relationships" r:embed="rId2"/>
        <a:stretch>
          <a:fillRect/>
        </a:stretch>
      </xdr:blipFill>
      <xdr:spPr>
        <a:xfrm>
          <a:off x="1405890" y="8593455"/>
          <a:ext cx="6138979" cy="96952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1266825</xdr:colOff>
      <xdr:row>15</xdr:row>
      <xdr:rowOff>142875</xdr:rowOff>
    </xdr:from>
    <xdr:to>
      <xdr:col>1</xdr:col>
      <xdr:colOff>6133473</xdr:colOff>
      <xdr:row>21</xdr:row>
      <xdr:rowOff>41786</xdr:rowOff>
    </xdr:to>
    <xdr:pic>
      <xdr:nvPicPr>
        <xdr:cNvPr id="2" name="Image 1">
          <a:extLst>
            <a:ext uri="{FF2B5EF4-FFF2-40B4-BE49-F238E27FC236}">
              <a16:creationId xmlns:a16="http://schemas.microsoft.com/office/drawing/2014/main" id="{4AEF3A52-0F54-4391-96FA-A1EC91429C57}"/>
            </a:ext>
          </a:extLst>
        </xdr:cNvPr>
        <xdr:cNvPicPr>
          <a:picLocks noChangeAspect="1"/>
        </xdr:cNvPicPr>
      </xdr:nvPicPr>
      <xdr:blipFill>
        <a:blip xmlns:r="http://schemas.openxmlformats.org/officeDocument/2006/relationships" r:embed="rId1"/>
        <a:stretch>
          <a:fillRect/>
        </a:stretch>
      </xdr:blipFill>
      <xdr:spPr>
        <a:xfrm>
          <a:off x="1990725" y="3124200"/>
          <a:ext cx="4866648" cy="104191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361950</xdr:colOff>
      <xdr:row>12</xdr:row>
      <xdr:rowOff>95250</xdr:rowOff>
    </xdr:from>
    <xdr:to>
      <xdr:col>14</xdr:col>
      <xdr:colOff>161298</xdr:colOff>
      <xdr:row>17</xdr:row>
      <xdr:rowOff>175136</xdr:rowOff>
    </xdr:to>
    <xdr:pic>
      <xdr:nvPicPr>
        <xdr:cNvPr id="2" name="Image 1">
          <a:extLst>
            <a:ext uri="{FF2B5EF4-FFF2-40B4-BE49-F238E27FC236}">
              <a16:creationId xmlns:a16="http://schemas.microsoft.com/office/drawing/2014/main" id="{5F76C3BB-4591-48AD-B76B-F76579E3E83C}"/>
            </a:ext>
          </a:extLst>
        </xdr:cNvPr>
        <xdr:cNvPicPr>
          <a:picLocks noChangeAspect="1"/>
        </xdr:cNvPicPr>
      </xdr:nvPicPr>
      <xdr:blipFill>
        <a:blip xmlns:r="http://schemas.openxmlformats.org/officeDocument/2006/relationships" r:embed="rId1"/>
        <a:stretch>
          <a:fillRect/>
        </a:stretch>
      </xdr:blipFill>
      <xdr:spPr>
        <a:xfrm>
          <a:off x="10077450" y="2505075"/>
          <a:ext cx="4866648" cy="104191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228600</xdr:colOff>
      <xdr:row>15</xdr:row>
      <xdr:rowOff>136207</xdr:rowOff>
    </xdr:from>
    <xdr:to>
      <xdr:col>13</xdr:col>
      <xdr:colOff>9525</xdr:colOff>
      <xdr:row>27</xdr:row>
      <xdr:rowOff>135255</xdr:rowOff>
    </xdr:to>
    <xdr:sp macro="" textlink="">
      <xdr:nvSpPr>
        <xdr:cNvPr id="4" name="ZoneTexte 3">
          <a:extLst>
            <a:ext uri="{FF2B5EF4-FFF2-40B4-BE49-F238E27FC236}">
              <a16:creationId xmlns:a16="http://schemas.microsoft.com/office/drawing/2014/main" id="{FCD2CB9D-BEE2-4DAB-B4FB-04BCF25B895F}"/>
            </a:ext>
          </a:extLst>
        </xdr:cNvPr>
        <xdr:cNvSpPr txBox="1"/>
      </xdr:nvSpPr>
      <xdr:spPr>
        <a:xfrm>
          <a:off x="6905625" y="2850832"/>
          <a:ext cx="6105525" cy="21707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fr-FR" sz="1100" b="0" i="0" baseline="0">
              <a:solidFill>
                <a:schemeClr val="dk1"/>
              </a:solidFill>
              <a:effectLst/>
              <a:latin typeface="+mn-lt"/>
              <a:ea typeface="+mn-ea"/>
              <a:cs typeface="+mn-cs"/>
            </a:rPr>
            <a:t>For importing the data in DEXi you have to:</a:t>
          </a:r>
          <a:endParaRPr lang="fr-FR">
            <a:effectLst/>
          </a:endParaRPr>
        </a:p>
        <a:p>
          <a:pPr rtl="0"/>
          <a:r>
            <a:rPr lang="fr-FR" sz="1100" b="0" i="0" baseline="0">
              <a:solidFill>
                <a:schemeClr val="dk1"/>
              </a:solidFill>
              <a:effectLst/>
              <a:latin typeface="+mn-lt"/>
              <a:ea typeface="+mn-ea"/>
              <a:cs typeface="+mn-cs"/>
            </a:rPr>
            <a:t>1) copy the tab into a new file, save it as "text (tab delimited)" and confirm this format if asked.</a:t>
          </a:r>
          <a:endParaRPr lang="fr-FR">
            <a:effectLst/>
          </a:endParaRPr>
        </a:p>
        <a:p>
          <a:pPr rtl="0"/>
          <a:r>
            <a:rPr lang="fr-FR" sz="1100" b="0" i="0" baseline="0">
              <a:solidFill>
                <a:schemeClr val="dk1"/>
              </a:solidFill>
              <a:effectLst/>
              <a:latin typeface="+mn-lt"/>
              <a:ea typeface="+mn-ea"/>
              <a:cs typeface="+mn-cs"/>
            </a:rPr>
            <a:t>2) close the new file</a:t>
          </a:r>
          <a:endParaRPr lang="fr-FR">
            <a:effectLst/>
          </a:endParaRPr>
        </a:p>
        <a:p>
          <a:pPr rtl="0"/>
          <a:r>
            <a:rPr lang="fr-FR" sz="1100" b="0" i="0" baseline="0">
              <a:solidFill>
                <a:schemeClr val="dk1"/>
              </a:solidFill>
              <a:effectLst/>
              <a:latin typeface="+mn-lt"/>
              <a:ea typeface="+mn-ea"/>
              <a:cs typeface="+mn-cs"/>
            </a:rPr>
            <a:t>3) check that the DEXi configuration (File&gt;settings&gt;import/export) correspond to the following:</a:t>
          </a:r>
          <a:endParaRPr lang="fr-FR">
            <a:effectLst/>
          </a:endParaRPr>
        </a:p>
        <a:p>
          <a:pPr rtl="0"/>
          <a:r>
            <a:rPr lang="fr-FR" sz="1100" b="0" i="0" baseline="0">
              <a:solidFill>
                <a:schemeClr val="dk1"/>
              </a:solidFill>
              <a:effectLst/>
              <a:latin typeface="+mn-lt"/>
              <a:ea typeface="+mn-ea"/>
              <a:cs typeface="+mn-cs"/>
            </a:rPr>
            <a:t>    option values: </a:t>
          </a:r>
          <a:r>
            <a:rPr lang="fr-FR" sz="1100" b="1" i="0" baseline="0">
              <a:solidFill>
                <a:schemeClr val="dk1"/>
              </a:solidFill>
              <a:effectLst/>
              <a:latin typeface="+mn-lt"/>
              <a:ea typeface="+mn-ea"/>
              <a:cs typeface="+mn-cs"/>
            </a:rPr>
            <a:t>text</a:t>
          </a:r>
          <a:endParaRPr lang="fr-FR">
            <a:effectLst/>
          </a:endParaRPr>
        </a:p>
        <a:p>
          <a:pPr rtl="0"/>
          <a:r>
            <a:rPr lang="fr-FR" sz="1100" b="1" i="0" baseline="0">
              <a:solidFill>
                <a:schemeClr val="dk1"/>
              </a:solidFill>
              <a:effectLst/>
              <a:latin typeface="+mn-lt"/>
              <a:ea typeface="+mn-ea"/>
              <a:cs typeface="+mn-cs"/>
            </a:rPr>
            <a:t>    </a:t>
          </a:r>
          <a:r>
            <a:rPr lang="fr-FR" sz="1100" b="0" i="0" baseline="0">
              <a:solidFill>
                <a:schemeClr val="dk1"/>
              </a:solidFill>
              <a:effectLst/>
              <a:latin typeface="+mn-lt"/>
              <a:ea typeface="+mn-ea"/>
              <a:cs typeface="+mn-cs"/>
            </a:rPr>
            <a:t>attributes:</a:t>
          </a:r>
          <a:r>
            <a:rPr lang="fr-FR" sz="1100" b="1" i="0" baseline="0">
              <a:solidFill>
                <a:schemeClr val="dk1"/>
              </a:solidFill>
              <a:effectLst/>
              <a:latin typeface="+mn-lt"/>
              <a:ea typeface="+mn-ea"/>
              <a:cs typeface="+mn-cs"/>
            </a:rPr>
            <a:t> basic</a:t>
          </a:r>
          <a:endParaRPr lang="fr-FR">
            <a:effectLst/>
          </a:endParaRPr>
        </a:p>
        <a:p>
          <a:pPr rtl="0"/>
          <a:r>
            <a:rPr lang="fr-FR" sz="1100" b="1" i="0" baseline="0">
              <a:solidFill>
                <a:schemeClr val="dk1"/>
              </a:solidFill>
              <a:effectLst/>
              <a:latin typeface="+mn-lt"/>
              <a:ea typeface="+mn-ea"/>
              <a:cs typeface="+mn-cs"/>
            </a:rPr>
            <a:t>    </a:t>
          </a:r>
          <a:r>
            <a:rPr lang="fr-FR" sz="1100" b="0" i="0" baseline="0">
              <a:solidFill>
                <a:schemeClr val="dk1"/>
              </a:solidFill>
              <a:effectLst/>
              <a:latin typeface="+mn-lt"/>
              <a:ea typeface="+mn-ea"/>
              <a:cs typeface="+mn-cs"/>
            </a:rPr>
            <a:t>orientation:</a:t>
          </a:r>
          <a:r>
            <a:rPr lang="fr-FR" sz="1100" b="1" i="0" baseline="0">
              <a:solidFill>
                <a:schemeClr val="dk1"/>
              </a:solidFill>
              <a:effectLst/>
              <a:latin typeface="+mn-lt"/>
              <a:ea typeface="+mn-ea"/>
              <a:cs typeface="+mn-cs"/>
            </a:rPr>
            <a:t> normal</a:t>
          </a:r>
          <a:endParaRPr lang="fr-FR">
            <a:effectLst/>
          </a:endParaRPr>
        </a:p>
        <a:p>
          <a:pPr rtl="0"/>
          <a:r>
            <a:rPr lang="fr-FR" sz="1100" b="0" i="0" baseline="0">
              <a:solidFill>
                <a:schemeClr val="dk1"/>
              </a:solidFill>
              <a:effectLst/>
              <a:latin typeface="+mn-lt"/>
              <a:ea typeface="+mn-ea"/>
              <a:cs typeface="+mn-cs"/>
            </a:rPr>
            <a:t>4) select the file to import by clicking on File&gt;import&gt;import options</a:t>
          </a:r>
          <a:endParaRPr lang="fr-FR">
            <a:effectLst/>
          </a:endParaRPr>
        </a:p>
        <a:p>
          <a:pPr rtl="0"/>
          <a:r>
            <a:rPr lang="fr-FR" sz="1100" b="0" i="0" baseline="0">
              <a:solidFill>
                <a:schemeClr val="dk1"/>
              </a:solidFill>
              <a:effectLst/>
              <a:latin typeface="+mn-lt"/>
              <a:ea typeface="+mn-ea"/>
              <a:cs typeface="+mn-cs"/>
            </a:rPr>
            <a:t>If a dialog box opens with an error, please check that the procedure has been correctly followed and check that all the data in the import file corresponds to the DEXiPM classes.</a:t>
          </a:r>
          <a:endParaRPr lang="fr-FR">
            <a:effectLst/>
          </a:endParaRPr>
        </a:p>
        <a:p>
          <a:endParaRPr lang="fr-FR" sz="1100"/>
        </a:p>
      </xdr:txBody>
    </xdr:sp>
    <xdr:clientData/>
  </xdr:twoCellAnchor>
  <xdr:oneCellAnchor>
    <xdr:from>
      <xdr:col>8</xdr:col>
      <xdr:colOff>369570</xdr:colOff>
      <xdr:row>23</xdr:row>
      <xdr:rowOff>91440</xdr:rowOff>
    </xdr:from>
    <xdr:ext cx="184731" cy="264560"/>
    <xdr:sp macro="" textlink="">
      <xdr:nvSpPr>
        <xdr:cNvPr id="5" name="ZoneTexte 4">
          <a:extLst>
            <a:ext uri="{FF2B5EF4-FFF2-40B4-BE49-F238E27FC236}">
              <a16:creationId xmlns:a16="http://schemas.microsoft.com/office/drawing/2014/main" id="{06B20645-0FEF-44A0-9AE3-8D36BB800447}"/>
            </a:ext>
          </a:extLst>
        </xdr:cNvPr>
        <xdr:cNvSpPr txBox="1"/>
      </xdr:nvSpPr>
      <xdr:spPr>
        <a:xfrm>
          <a:off x="9418320" y="42538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3</xdr:col>
      <xdr:colOff>0</xdr:colOff>
      <xdr:row>0</xdr:row>
      <xdr:rowOff>9525</xdr:rowOff>
    </xdr:from>
    <xdr:to>
      <xdr:col>4</xdr:col>
      <xdr:colOff>0</xdr:colOff>
      <xdr:row>2</xdr:row>
      <xdr:rowOff>57150</xdr:rowOff>
    </xdr:to>
    <xdr:pic>
      <xdr:nvPicPr>
        <xdr:cNvPr id="2" name="Image 1" descr="European_Commission">
          <a:extLst>
            <a:ext uri="{FF2B5EF4-FFF2-40B4-BE49-F238E27FC236}">
              <a16:creationId xmlns:a16="http://schemas.microsoft.com/office/drawing/2014/main" id="{FF09A544-455B-45B5-995B-4DA476C5347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7950" y="11430"/>
          <a:ext cx="762000" cy="407670"/>
        </a:xfrm>
        <a:prstGeom prst="rect">
          <a:avLst/>
        </a:prstGeom>
        <a:noFill/>
        <a:ln>
          <a:noFill/>
        </a:ln>
      </xdr:spPr>
    </xdr:pic>
    <xdr:clientData/>
  </xdr:twoCellAnchor>
  <xdr:twoCellAnchor editAs="oneCell">
    <xdr:from>
      <xdr:col>4</xdr:col>
      <xdr:colOff>66675</xdr:colOff>
      <xdr:row>0</xdr:row>
      <xdr:rowOff>47625</xdr:rowOff>
    </xdr:from>
    <xdr:to>
      <xdr:col>4</xdr:col>
      <xdr:colOff>472440</xdr:colOff>
      <xdr:row>2</xdr:row>
      <xdr:rowOff>22225</xdr:rowOff>
    </xdr:to>
    <xdr:pic>
      <xdr:nvPicPr>
        <xdr:cNvPr id="3" name="Image 2" descr="SIMTAP official logo">
          <a:extLst>
            <a:ext uri="{FF2B5EF4-FFF2-40B4-BE49-F238E27FC236}">
              <a16:creationId xmlns:a16="http://schemas.microsoft.com/office/drawing/2014/main" id="{67FCA4B4-D759-40CF-A14A-502E5F93088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55670" y="49530"/>
          <a:ext cx="407670" cy="347980"/>
        </a:xfrm>
        <a:prstGeom prst="rect">
          <a:avLst/>
        </a:prstGeom>
        <a:noFill/>
        <a:ln>
          <a:noFill/>
        </a:ln>
      </xdr:spPr>
    </xdr:pic>
    <xdr:clientData/>
  </xdr:twoCellAnchor>
  <xdr:twoCellAnchor editAs="oneCell">
    <xdr:from>
      <xdr:col>4</xdr:col>
      <xdr:colOff>638176</xdr:colOff>
      <xdr:row>0</xdr:row>
      <xdr:rowOff>0</xdr:rowOff>
    </xdr:from>
    <xdr:to>
      <xdr:col>4</xdr:col>
      <xdr:colOff>1428751</xdr:colOff>
      <xdr:row>2</xdr:row>
      <xdr:rowOff>95250</xdr:rowOff>
    </xdr:to>
    <xdr:pic>
      <xdr:nvPicPr>
        <xdr:cNvPr id="4" name="Image 3">
          <a:extLst>
            <a:ext uri="{FF2B5EF4-FFF2-40B4-BE49-F238E27FC236}">
              <a16:creationId xmlns:a16="http://schemas.microsoft.com/office/drawing/2014/main" id="{772678D7-7459-40FE-A6FF-89137C40D60B}"/>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027171" y="0"/>
          <a:ext cx="859155" cy="457200"/>
        </a:xfrm>
        <a:prstGeom prst="rect">
          <a:avLst/>
        </a:prstGeom>
        <a:noFill/>
        <a:ln>
          <a:noFill/>
        </a:ln>
      </xdr:spPr>
    </xdr:pic>
    <xdr:clientData/>
  </xdr:twoCellAnchor>
  <xdr:twoCellAnchor editAs="oneCell">
    <xdr:from>
      <xdr:col>3</xdr:col>
      <xdr:colOff>0</xdr:colOff>
      <xdr:row>0</xdr:row>
      <xdr:rowOff>9525</xdr:rowOff>
    </xdr:from>
    <xdr:to>
      <xdr:col>4</xdr:col>
      <xdr:colOff>0</xdr:colOff>
      <xdr:row>2</xdr:row>
      <xdr:rowOff>57150</xdr:rowOff>
    </xdr:to>
    <xdr:pic>
      <xdr:nvPicPr>
        <xdr:cNvPr id="5" name="Image 4" descr="European_Commission">
          <a:extLst>
            <a:ext uri="{FF2B5EF4-FFF2-40B4-BE49-F238E27FC236}">
              <a16:creationId xmlns:a16="http://schemas.microsoft.com/office/drawing/2014/main" id="{9364A4BC-8486-4865-BF7C-3FD1362DCAA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9860" y="9525"/>
          <a:ext cx="746760" cy="695325"/>
        </a:xfrm>
        <a:prstGeom prst="rect">
          <a:avLst/>
        </a:prstGeom>
        <a:noFill/>
        <a:ln>
          <a:noFill/>
        </a:ln>
      </xdr:spPr>
    </xdr:pic>
    <xdr:clientData/>
  </xdr:twoCellAnchor>
  <xdr:twoCellAnchor editAs="oneCell">
    <xdr:from>
      <xdr:col>4</xdr:col>
      <xdr:colOff>66675</xdr:colOff>
      <xdr:row>0</xdr:row>
      <xdr:rowOff>47625</xdr:rowOff>
    </xdr:from>
    <xdr:to>
      <xdr:col>4</xdr:col>
      <xdr:colOff>472440</xdr:colOff>
      <xdr:row>2</xdr:row>
      <xdr:rowOff>22225</xdr:rowOff>
    </xdr:to>
    <xdr:pic>
      <xdr:nvPicPr>
        <xdr:cNvPr id="6" name="Image 5" descr="SIMTAP official logo">
          <a:extLst>
            <a:ext uri="{FF2B5EF4-FFF2-40B4-BE49-F238E27FC236}">
              <a16:creationId xmlns:a16="http://schemas.microsoft.com/office/drawing/2014/main" id="{B49AD4F3-C881-4814-A5F1-C4147901C5E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03295" y="47625"/>
          <a:ext cx="405765" cy="622300"/>
        </a:xfrm>
        <a:prstGeom prst="rect">
          <a:avLst/>
        </a:prstGeom>
        <a:noFill/>
        <a:ln>
          <a:noFill/>
        </a:ln>
      </xdr:spPr>
    </xdr:pic>
    <xdr:clientData/>
  </xdr:twoCellAnchor>
  <xdr:twoCellAnchor editAs="oneCell">
    <xdr:from>
      <xdr:col>4</xdr:col>
      <xdr:colOff>638176</xdr:colOff>
      <xdr:row>0</xdr:row>
      <xdr:rowOff>0</xdr:rowOff>
    </xdr:from>
    <xdr:to>
      <xdr:col>4</xdr:col>
      <xdr:colOff>1428751</xdr:colOff>
      <xdr:row>2</xdr:row>
      <xdr:rowOff>95250</xdr:rowOff>
    </xdr:to>
    <xdr:pic>
      <xdr:nvPicPr>
        <xdr:cNvPr id="7" name="Image 6">
          <a:extLst>
            <a:ext uri="{FF2B5EF4-FFF2-40B4-BE49-F238E27FC236}">
              <a16:creationId xmlns:a16="http://schemas.microsoft.com/office/drawing/2014/main" id="{53940673-EEC2-4EAF-9A4B-B51F3252C71A}"/>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074796" y="0"/>
          <a:ext cx="790575" cy="74295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0</xdr:row>
      <xdr:rowOff>9525</xdr:rowOff>
    </xdr:from>
    <xdr:to>
      <xdr:col>6</xdr:col>
      <xdr:colOff>739140</xdr:colOff>
      <xdr:row>1</xdr:row>
      <xdr:rowOff>249555</xdr:rowOff>
    </xdr:to>
    <xdr:pic>
      <xdr:nvPicPr>
        <xdr:cNvPr id="2" name="Image 1" descr="European_Commission">
          <a:extLst>
            <a:ext uri="{FF2B5EF4-FFF2-40B4-BE49-F238E27FC236}">
              <a16:creationId xmlns:a16="http://schemas.microsoft.com/office/drawing/2014/main" id="{E1539D2E-40B5-4CDD-8B22-BF9AA8CE45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76800" y="11430"/>
          <a:ext cx="735330" cy="419100"/>
        </a:xfrm>
        <a:prstGeom prst="rect">
          <a:avLst/>
        </a:prstGeom>
        <a:noFill/>
        <a:ln>
          <a:noFill/>
        </a:ln>
      </xdr:spPr>
    </xdr:pic>
    <xdr:clientData/>
  </xdr:twoCellAnchor>
  <xdr:twoCellAnchor editAs="oneCell">
    <xdr:from>
      <xdr:col>6</xdr:col>
      <xdr:colOff>790575</xdr:colOff>
      <xdr:row>0</xdr:row>
      <xdr:rowOff>47625</xdr:rowOff>
    </xdr:from>
    <xdr:to>
      <xdr:col>7</xdr:col>
      <xdr:colOff>131445</xdr:colOff>
      <xdr:row>1</xdr:row>
      <xdr:rowOff>208915</xdr:rowOff>
    </xdr:to>
    <xdr:pic>
      <xdr:nvPicPr>
        <xdr:cNvPr id="3" name="Image 2" descr="SIMTAP official logo">
          <a:extLst>
            <a:ext uri="{FF2B5EF4-FFF2-40B4-BE49-F238E27FC236}">
              <a16:creationId xmlns:a16="http://schemas.microsoft.com/office/drawing/2014/main" id="{6EC88750-CAD0-435A-86AF-49E98D2AB32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65470" y="49530"/>
          <a:ext cx="426720" cy="349885"/>
        </a:xfrm>
        <a:prstGeom prst="rect">
          <a:avLst/>
        </a:prstGeom>
        <a:noFill/>
        <a:ln>
          <a:noFill/>
        </a:ln>
      </xdr:spPr>
    </xdr:pic>
    <xdr:clientData/>
  </xdr:twoCellAnchor>
  <xdr:twoCellAnchor editAs="oneCell">
    <xdr:from>
      <xdr:col>7</xdr:col>
      <xdr:colOff>485776</xdr:colOff>
      <xdr:row>0</xdr:row>
      <xdr:rowOff>0</xdr:rowOff>
    </xdr:from>
    <xdr:to>
      <xdr:col>8</xdr:col>
      <xdr:colOff>131446</xdr:colOff>
      <xdr:row>2</xdr:row>
      <xdr:rowOff>19050</xdr:rowOff>
    </xdr:to>
    <xdr:pic>
      <xdr:nvPicPr>
        <xdr:cNvPr id="4" name="Image 3">
          <a:extLst>
            <a:ext uri="{FF2B5EF4-FFF2-40B4-BE49-F238E27FC236}">
              <a16:creationId xmlns:a16="http://schemas.microsoft.com/office/drawing/2014/main" id="{5BFBAB8B-A8CF-410E-A7FE-50B3AFC923FB}"/>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256021" y="0"/>
          <a:ext cx="840105" cy="472440"/>
        </a:xfrm>
        <a:prstGeom prst="rect">
          <a:avLst/>
        </a:prstGeom>
        <a:noFill/>
        <a:ln>
          <a:noFill/>
        </a:ln>
      </xdr:spPr>
    </xdr:pic>
    <xdr:clientData/>
  </xdr:twoCellAnchor>
  <xdr:twoCellAnchor editAs="oneCell">
    <xdr:from>
      <xdr:col>6</xdr:col>
      <xdr:colOff>0</xdr:colOff>
      <xdr:row>0</xdr:row>
      <xdr:rowOff>9525</xdr:rowOff>
    </xdr:from>
    <xdr:to>
      <xdr:col>6</xdr:col>
      <xdr:colOff>739140</xdr:colOff>
      <xdr:row>1</xdr:row>
      <xdr:rowOff>249555</xdr:rowOff>
    </xdr:to>
    <xdr:pic>
      <xdr:nvPicPr>
        <xdr:cNvPr id="5" name="Image 4" descr="European_Commission">
          <a:extLst>
            <a:ext uri="{FF2B5EF4-FFF2-40B4-BE49-F238E27FC236}">
              <a16:creationId xmlns:a16="http://schemas.microsoft.com/office/drawing/2014/main" id="{B33F7263-746F-4170-86E3-C61B228C04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99660" y="9525"/>
          <a:ext cx="739140" cy="506730"/>
        </a:xfrm>
        <a:prstGeom prst="rect">
          <a:avLst/>
        </a:prstGeom>
        <a:noFill/>
        <a:ln>
          <a:noFill/>
        </a:ln>
      </xdr:spPr>
    </xdr:pic>
    <xdr:clientData/>
  </xdr:twoCellAnchor>
  <xdr:twoCellAnchor editAs="oneCell">
    <xdr:from>
      <xdr:col>6</xdr:col>
      <xdr:colOff>790575</xdr:colOff>
      <xdr:row>0</xdr:row>
      <xdr:rowOff>47625</xdr:rowOff>
    </xdr:from>
    <xdr:to>
      <xdr:col>7</xdr:col>
      <xdr:colOff>140970</xdr:colOff>
      <xdr:row>1</xdr:row>
      <xdr:rowOff>208915</xdr:rowOff>
    </xdr:to>
    <xdr:pic>
      <xdr:nvPicPr>
        <xdr:cNvPr id="6" name="Image 5" descr="SIMTAP official logo">
          <a:extLst>
            <a:ext uri="{FF2B5EF4-FFF2-40B4-BE49-F238E27FC236}">
              <a16:creationId xmlns:a16="http://schemas.microsoft.com/office/drawing/2014/main" id="{A06CF4BE-EA1D-4481-9099-9B74E881BEB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90235" y="47625"/>
          <a:ext cx="440055" cy="427990"/>
        </a:xfrm>
        <a:prstGeom prst="rect">
          <a:avLst/>
        </a:prstGeom>
        <a:noFill/>
        <a:ln>
          <a:noFill/>
        </a:ln>
      </xdr:spPr>
    </xdr:pic>
    <xdr:clientData/>
  </xdr:twoCellAnchor>
  <xdr:twoCellAnchor editAs="oneCell">
    <xdr:from>
      <xdr:col>7</xdr:col>
      <xdr:colOff>485776</xdr:colOff>
      <xdr:row>0</xdr:row>
      <xdr:rowOff>0</xdr:rowOff>
    </xdr:from>
    <xdr:to>
      <xdr:col>8</xdr:col>
      <xdr:colOff>131446</xdr:colOff>
      <xdr:row>2</xdr:row>
      <xdr:rowOff>19050</xdr:rowOff>
    </xdr:to>
    <xdr:pic>
      <xdr:nvPicPr>
        <xdr:cNvPr id="7" name="Image 6">
          <a:extLst>
            <a:ext uri="{FF2B5EF4-FFF2-40B4-BE49-F238E27FC236}">
              <a16:creationId xmlns:a16="http://schemas.microsoft.com/office/drawing/2014/main" id="{E1B846F0-B3BD-4B09-87F0-26283B5524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475096" y="0"/>
          <a:ext cx="781050" cy="56007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9525</xdr:rowOff>
    </xdr:from>
    <xdr:to>
      <xdr:col>7</xdr:col>
      <xdr:colOff>742950</xdr:colOff>
      <xdr:row>1</xdr:row>
      <xdr:rowOff>245745</xdr:rowOff>
    </xdr:to>
    <xdr:pic>
      <xdr:nvPicPr>
        <xdr:cNvPr id="2" name="Image 1" descr="European_Commission">
          <a:extLst>
            <a:ext uri="{FF2B5EF4-FFF2-40B4-BE49-F238E27FC236}">
              <a16:creationId xmlns:a16="http://schemas.microsoft.com/office/drawing/2014/main" id="{E84B7ED3-7298-4964-91A5-4618DF324A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72150" y="11430"/>
          <a:ext cx="735330" cy="419100"/>
        </a:xfrm>
        <a:prstGeom prst="rect">
          <a:avLst/>
        </a:prstGeom>
        <a:noFill/>
        <a:ln>
          <a:noFill/>
        </a:ln>
      </xdr:spPr>
    </xdr:pic>
    <xdr:clientData/>
  </xdr:twoCellAnchor>
  <xdr:twoCellAnchor editAs="oneCell">
    <xdr:from>
      <xdr:col>7</xdr:col>
      <xdr:colOff>790575</xdr:colOff>
      <xdr:row>0</xdr:row>
      <xdr:rowOff>47625</xdr:rowOff>
    </xdr:from>
    <xdr:to>
      <xdr:col>8</xdr:col>
      <xdr:colOff>91440</xdr:colOff>
      <xdr:row>1</xdr:row>
      <xdr:rowOff>212725</xdr:rowOff>
    </xdr:to>
    <xdr:pic>
      <xdr:nvPicPr>
        <xdr:cNvPr id="3" name="Image 2" descr="SIMTAP official logo">
          <a:extLst>
            <a:ext uri="{FF2B5EF4-FFF2-40B4-BE49-F238E27FC236}">
              <a16:creationId xmlns:a16="http://schemas.microsoft.com/office/drawing/2014/main" id="{2583A01E-65FE-4B41-BE7C-C766307E760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60820" y="49530"/>
          <a:ext cx="436245" cy="349885"/>
        </a:xfrm>
        <a:prstGeom prst="rect">
          <a:avLst/>
        </a:prstGeom>
        <a:noFill/>
        <a:ln>
          <a:noFill/>
        </a:ln>
      </xdr:spPr>
    </xdr:pic>
    <xdr:clientData/>
  </xdr:twoCellAnchor>
  <xdr:twoCellAnchor editAs="oneCell">
    <xdr:from>
      <xdr:col>8</xdr:col>
      <xdr:colOff>257176</xdr:colOff>
      <xdr:row>0</xdr:row>
      <xdr:rowOff>0</xdr:rowOff>
    </xdr:from>
    <xdr:to>
      <xdr:col>9</xdr:col>
      <xdr:colOff>283846</xdr:colOff>
      <xdr:row>2</xdr:row>
      <xdr:rowOff>15240</xdr:rowOff>
    </xdr:to>
    <xdr:pic>
      <xdr:nvPicPr>
        <xdr:cNvPr id="4" name="Image 3">
          <a:extLst>
            <a:ext uri="{FF2B5EF4-FFF2-40B4-BE49-F238E27FC236}">
              <a16:creationId xmlns:a16="http://schemas.microsoft.com/office/drawing/2014/main" id="{7BDDDA6B-C8B1-449D-91D2-58714138BBF8}"/>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160896" y="0"/>
          <a:ext cx="830580" cy="472440"/>
        </a:xfrm>
        <a:prstGeom prst="rect">
          <a:avLst/>
        </a:prstGeom>
        <a:noFill/>
        <a:ln>
          <a:noFill/>
        </a:ln>
      </xdr:spPr>
    </xdr:pic>
    <xdr:clientData/>
  </xdr:twoCellAnchor>
  <xdr:twoCellAnchor editAs="oneCell">
    <xdr:from>
      <xdr:col>7</xdr:col>
      <xdr:colOff>0</xdr:colOff>
      <xdr:row>0</xdr:row>
      <xdr:rowOff>9525</xdr:rowOff>
    </xdr:from>
    <xdr:to>
      <xdr:col>7</xdr:col>
      <xdr:colOff>742950</xdr:colOff>
      <xdr:row>1</xdr:row>
      <xdr:rowOff>245745</xdr:rowOff>
    </xdr:to>
    <xdr:pic>
      <xdr:nvPicPr>
        <xdr:cNvPr id="5" name="Image 4" descr="European_Commission">
          <a:extLst>
            <a:ext uri="{FF2B5EF4-FFF2-40B4-BE49-F238E27FC236}">
              <a16:creationId xmlns:a16="http://schemas.microsoft.com/office/drawing/2014/main" id="{53DF41B8-A2AA-4D93-A2A6-CA8BA81BDA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98820" y="9525"/>
          <a:ext cx="742950" cy="502920"/>
        </a:xfrm>
        <a:prstGeom prst="rect">
          <a:avLst/>
        </a:prstGeom>
        <a:noFill/>
        <a:ln>
          <a:noFill/>
        </a:ln>
      </xdr:spPr>
    </xdr:pic>
    <xdr:clientData/>
  </xdr:twoCellAnchor>
  <xdr:twoCellAnchor editAs="oneCell">
    <xdr:from>
      <xdr:col>7</xdr:col>
      <xdr:colOff>790575</xdr:colOff>
      <xdr:row>0</xdr:row>
      <xdr:rowOff>47625</xdr:rowOff>
    </xdr:from>
    <xdr:to>
      <xdr:col>8</xdr:col>
      <xdr:colOff>91440</xdr:colOff>
      <xdr:row>1</xdr:row>
      <xdr:rowOff>212725</xdr:rowOff>
    </xdr:to>
    <xdr:pic>
      <xdr:nvPicPr>
        <xdr:cNvPr id="6" name="Image 5" descr="SIMTAP official logo">
          <a:extLst>
            <a:ext uri="{FF2B5EF4-FFF2-40B4-BE49-F238E27FC236}">
              <a16:creationId xmlns:a16="http://schemas.microsoft.com/office/drawing/2014/main" id="{B559E128-61FE-4B22-B765-18BF8767F08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89395" y="47625"/>
          <a:ext cx="436245" cy="431800"/>
        </a:xfrm>
        <a:prstGeom prst="rect">
          <a:avLst/>
        </a:prstGeom>
        <a:noFill/>
        <a:ln>
          <a:noFill/>
        </a:ln>
      </xdr:spPr>
    </xdr:pic>
    <xdr:clientData/>
  </xdr:twoCellAnchor>
  <xdr:twoCellAnchor editAs="oneCell">
    <xdr:from>
      <xdr:col>8</xdr:col>
      <xdr:colOff>257176</xdr:colOff>
      <xdr:row>0</xdr:row>
      <xdr:rowOff>0</xdr:rowOff>
    </xdr:from>
    <xdr:to>
      <xdr:col>9</xdr:col>
      <xdr:colOff>283846</xdr:colOff>
      <xdr:row>2</xdr:row>
      <xdr:rowOff>15240</xdr:rowOff>
    </xdr:to>
    <xdr:pic>
      <xdr:nvPicPr>
        <xdr:cNvPr id="7" name="Image 6">
          <a:extLst>
            <a:ext uri="{FF2B5EF4-FFF2-40B4-BE49-F238E27FC236}">
              <a16:creationId xmlns:a16="http://schemas.microsoft.com/office/drawing/2014/main" id="{34D7F866-B1CC-4D90-8EB0-E2B8AA448F28}"/>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191376" y="0"/>
          <a:ext cx="773430" cy="55626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4</xdr:col>
      <xdr:colOff>0</xdr:colOff>
      <xdr:row>0</xdr:row>
      <xdr:rowOff>9525</xdr:rowOff>
    </xdr:from>
    <xdr:to>
      <xdr:col>5</xdr:col>
      <xdr:colOff>1905</xdr:colOff>
      <xdr:row>1</xdr:row>
      <xdr:rowOff>245745</xdr:rowOff>
    </xdr:to>
    <xdr:pic>
      <xdr:nvPicPr>
        <xdr:cNvPr id="2" name="Image 1" descr="European_Commission">
          <a:extLst>
            <a:ext uri="{FF2B5EF4-FFF2-40B4-BE49-F238E27FC236}">
              <a16:creationId xmlns:a16="http://schemas.microsoft.com/office/drawing/2014/main" id="{081A5F13-A81D-4884-B3E2-02A8276D11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0900" y="11430"/>
          <a:ext cx="754380" cy="419100"/>
        </a:xfrm>
        <a:prstGeom prst="rect">
          <a:avLst/>
        </a:prstGeom>
        <a:noFill/>
        <a:ln>
          <a:noFill/>
        </a:ln>
      </xdr:spPr>
    </xdr:pic>
    <xdr:clientData/>
  </xdr:twoCellAnchor>
  <xdr:twoCellAnchor editAs="oneCell">
    <xdr:from>
      <xdr:col>5</xdr:col>
      <xdr:colOff>66675</xdr:colOff>
      <xdr:row>0</xdr:row>
      <xdr:rowOff>47625</xdr:rowOff>
    </xdr:from>
    <xdr:to>
      <xdr:col>5</xdr:col>
      <xdr:colOff>472440</xdr:colOff>
      <xdr:row>1</xdr:row>
      <xdr:rowOff>212725</xdr:rowOff>
    </xdr:to>
    <xdr:pic>
      <xdr:nvPicPr>
        <xdr:cNvPr id="3" name="Image 2" descr="SIMTAP official logo">
          <a:extLst>
            <a:ext uri="{FF2B5EF4-FFF2-40B4-BE49-F238E27FC236}">
              <a16:creationId xmlns:a16="http://schemas.microsoft.com/office/drawing/2014/main" id="{6A67E0B4-41F1-4F27-B9FA-120EC1A27AF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8620" y="49530"/>
          <a:ext cx="407670" cy="349885"/>
        </a:xfrm>
        <a:prstGeom prst="rect">
          <a:avLst/>
        </a:prstGeom>
        <a:noFill/>
        <a:ln>
          <a:noFill/>
        </a:ln>
      </xdr:spPr>
    </xdr:pic>
    <xdr:clientData/>
  </xdr:twoCellAnchor>
  <xdr:twoCellAnchor editAs="oneCell">
    <xdr:from>
      <xdr:col>5</xdr:col>
      <xdr:colOff>638176</xdr:colOff>
      <xdr:row>0</xdr:row>
      <xdr:rowOff>0</xdr:rowOff>
    </xdr:from>
    <xdr:to>
      <xdr:col>6</xdr:col>
      <xdr:colOff>664846</xdr:colOff>
      <xdr:row>2</xdr:row>
      <xdr:rowOff>15240</xdr:rowOff>
    </xdr:to>
    <xdr:pic>
      <xdr:nvPicPr>
        <xdr:cNvPr id="4" name="Image 3">
          <a:extLst>
            <a:ext uri="{FF2B5EF4-FFF2-40B4-BE49-F238E27FC236}">
              <a16:creationId xmlns:a16="http://schemas.microsoft.com/office/drawing/2014/main" id="{75C0150B-DFCA-4EC7-9746-4996D3B75B85}"/>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70121" y="0"/>
          <a:ext cx="830580" cy="472440"/>
        </a:xfrm>
        <a:prstGeom prst="rect">
          <a:avLst/>
        </a:prstGeom>
        <a:noFill/>
        <a:ln>
          <a:noFill/>
        </a:ln>
      </xdr:spPr>
    </xdr:pic>
    <xdr:clientData/>
  </xdr:twoCellAnchor>
  <xdr:twoCellAnchor editAs="oneCell">
    <xdr:from>
      <xdr:col>4</xdr:col>
      <xdr:colOff>0</xdr:colOff>
      <xdr:row>0</xdr:row>
      <xdr:rowOff>9525</xdr:rowOff>
    </xdr:from>
    <xdr:to>
      <xdr:col>5</xdr:col>
      <xdr:colOff>1905</xdr:colOff>
      <xdr:row>1</xdr:row>
      <xdr:rowOff>245745</xdr:rowOff>
    </xdr:to>
    <xdr:pic>
      <xdr:nvPicPr>
        <xdr:cNvPr id="5" name="Image 4" descr="European_Commission">
          <a:extLst>
            <a:ext uri="{FF2B5EF4-FFF2-40B4-BE49-F238E27FC236}">
              <a16:creationId xmlns:a16="http://schemas.microsoft.com/office/drawing/2014/main" id="{AFDB8AF9-6E23-4127-A81D-89B290DA5F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06140" y="9525"/>
          <a:ext cx="748665" cy="502920"/>
        </a:xfrm>
        <a:prstGeom prst="rect">
          <a:avLst/>
        </a:prstGeom>
        <a:noFill/>
        <a:ln>
          <a:noFill/>
        </a:ln>
      </xdr:spPr>
    </xdr:pic>
    <xdr:clientData/>
  </xdr:twoCellAnchor>
  <xdr:twoCellAnchor editAs="oneCell">
    <xdr:from>
      <xdr:col>5</xdr:col>
      <xdr:colOff>66675</xdr:colOff>
      <xdr:row>0</xdr:row>
      <xdr:rowOff>47625</xdr:rowOff>
    </xdr:from>
    <xdr:to>
      <xdr:col>5</xdr:col>
      <xdr:colOff>472440</xdr:colOff>
      <xdr:row>1</xdr:row>
      <xdr:rowOff>212725</xdr:rowOff>
    </xdr:to>
    <xdr:pic>
      <xdr:nvPicPr>
        <xdr:cNvPr id="6" name="Image 5" descr="SIMTAP official logo">
          <a:extLst>
            <a:ext uri="{FF2B5EF4-FFF2-40B4-BE49-F238E27FC236}">
              <a16:creationId xmlns:a16="http://schemas.microsoft.com/office/drawing/2014/main" id="{1D5EEEFB-D05B-4580-B4C0-CA82F09C51C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19575" y="47625"/>
          <a:ext cx="405765" cy="431800"/>
        </a:xfrm>
        <a:prstGeom prst="rect">
          <a:avLst/>
        </a:prstGeom>
        <a:noFill/>
        <a:ln>
          <a:noFill/>
        </a:ln>
      </xdr:spPr>
    </xdr:pic>
    <xdr:clientData/>
  </xdr:twoCellAnchor>
  <xdr:twoCellAnchor editAs="oneCell">
    <xdr:from>
      <xdr:col>5</xdr:col>
      <xdr:colOff>638176</xdr:colOff>
      <xdr:row>0</xdr:row>
      <xdr:rowOff>0</xdr:rowOff>
    </xdr:from>
    <xdr:to>
      <xdr:col>6</xdr:col>
      <xdr:colOff>664846</xdr:colOff>
      <xdr:row>2</xdr:row>
      <xdr:rowOff>15240</xdr:rowOff>
    </xdr:to>
    <xdr:pic>
      <xdr:nvPicPr>
        <xdr:cNvPr id="7" name="Image 6">
          <a:extLst>
            <a:ext uri="{FF2B5EF4-FFF2-40B4-BE49-F238E27FC236}">
              <a16:creationId xmlns:a16="http://schemas.microsoft.com/office/drawing/2014/main" id="{0AE90D3D-D456-463C-91C5-06DC72F08E3C}"/>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91076" y="0"/>
          <a:ext cx="773430" cy="55626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47625</xdr:colOff>
      <xdr:row>22</xdr:row>
      <xdr:rowOff>152400</xdr:rowOff>
    </xdr:from>
    <xdr:to>
      <xdr:col>3</xdr:col>
      <xdr:colOff>1304298</xdr:colOff>
      <xdr:row>28</xdr:row>
      <xdr:rowOff>51311</xdr:rowOff>
    </xdr:to>
    <xdr:pic>
      <xdr:nvPicPr>
        <xdr:cNvPr id="2" name="Image 1">
          <a:extLst>
            <a:ext uri="{FF2B5EF4-FFF2-40B4-BE49-F238E27FC236}">
              <a16:creationId xmlns:a16="http://schemas.microsoft.com/office/drawing/2014/main" id="{FDA25ABF-6A15-445B-9800-C99F6FC766AC}"/>
            </a:ext>
          </a:extLst>
        </xdr:cNvPr>
        <xdr:cNvPicPr>
          <a:picLocks noChangeAspect="1"/>
        </xdr:cNvPicPr>
      </xdr:nvPicPr>
      <xdr:blipFill>
        <a:blip xmlns:r="http://schemas.openxmlformats.org/officeDocument/2006/relationships" r:embed="rId1"/>
        <a:stretch>
          <a:fillRect/>
        </a:stretch>
      </xdr:blipFill>
      <xdr:spPr>
        <a:xfrm>
          <a:off x="3876675" y="4648200"/>
          <a:ext cx="4866648" cy="10419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142875</xdr:colOff>
      <xdr:row>7</xdr:row>
      <xdr:rowOff>57150</xdr:rowOff>
    </xdr:from>
    <xdr:to>
      <xdr:col>12</xdr:col>
      <xdr:colOff>666123</xdr:colOff>
      <xdr:row>12</xdr:row>
      <xdr:rowOff>146561</xdr:rowOff>
    </xdr:to>
    <xdr:pic>
      <xdr:nvPicPr>
        <xdr:cNvPr id="2" name="Image 1">
          <a:extLst>
            <a:ext uri="{FF2B5EF4-FFF2-40B4-BE49-F238E27FC236}">
              <a16:creationId xmlns:a16="http://schemas.microsoft.com/office/drawing/2014/main" id="{D32F045F-8A2C-47D3-9883-3A3CFBE63E2A}"/>
            </a:ext>
          </a:extLst>
        </xdr:cNvPr>
        <xdr:cNvPicPr>
          <a:picLocks noChangeAspect="1"/>
        </xdr:cNvPicPr>
      </xdr:nvPicPr>
      <xdr:blipFill>
        <a:blip xmlns:r="http://schemas.openxmlformats.org/officeDocument/2006/relationships" r:embed="rId1"/>
        <a:stretch>
          <a:fillRect/>
        </a:stretch>
      </xdr:blipFill>
      <xdr:spPr>
        <a:xfrm>
          <a:off x="14258925" y="1457325"/>
          <a:ext cx="4866648" cy="10419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851535</xdr:colOff>
      <xdr:row>4</xdr:row>
      <xdr:rowOff>74295</xdr:rowOff>
    </xdr:from>
    <xdr:to>
      <xdr:col>9</xdr:col>
      <xdr:colOff>708033</xdr:colOff>
      <xdr:row>9</xdr:row>
      <xdr:rowOff>156086</xdr:rowOff>
    </xdr:to>
    <xdr:pic>
      <xdr:nvPicPr>
        <xdr:cNvPr id="2" name="Image 1">
          <a:extLst>
            <a:ext uri="{FF2B5EF4-FFF2-40B4-BE49-F238E27FC236}">
              <a16:creationId xmlns:a16="http://schemas.microsoft.com/office/drawing/2014/main" id="{22E62E5B-AF7D-40C9-B010-E8C5298B8919}"/>
            </a:ext>
          </a:extLst>
        </xdr:cNvPr>
        <xdr:cNvPicPr>
          <a:picLocks noChangeAspect="1"/>
        </xdr:cNvPicPr>
      </xdr:nvPicPr>
      <xdr:blipFill>
        <a:blip xmlns:r="http://schemas.openxmlformats.org/officeDocument/2006/relationships" r:embed="rId1"/>
        <a:stretch>
          <a:fillRect/>
        </a:stretch>
      </xdr:blipFill>
      <xdr:spPr>
        <a:xfrm>
          <a:off x="10887075" y="889635"/>
          <a:ext cx="5007618" cy="996191"/>
        </a:xfrm>
        <a:prstGeom prst="rect">
          <a:avLst/>
        </a:prstGeom>
      </xdr:spPr>
    </xdr:pic>
    <xdr:clientData/>
  </xdr:twoCellAnchor>
  <xdr:twoCellAnchor>
    <xdr:from>
      <xdr:col>3</xdr:col>
      <xdr:colOff>175261</xdr:colOff>
      <xdr:row>4</xdr:row>
      <xdr:rowOff>7620</xdr:rowOff>
    </xdr:from>
    <xdr:to>
      <xdr:col>6</xdr:col>
      <xdr:colOff>617221</xdr:colOff>
      <xdr:row>8</xdr:row>
      <xdr:rowOff>103958</xdr:rowOff>
    </xdr:to>
    <xdr:sp macro="" textlink="">
      <xdr:nvSpPr>
        <xdr:cNvPr id="3" name="Rectangle 2">
          <a:extLst>
            <a:ext uri="{FF2B5EF4-FFF2-40B4-BE49-F238E27FC236}">
              <a16:creationId xmlns:a16="http://schemas.microsoft.com/office/drawing/2014/main" id="{4AE57DB5-77E6-4828-983A-DFC25DF66151}"/>
            </a:ext>
          </a:extLst>
        </xdr:cNvPr>
        <xdr:cNvSpPr/>
      </xdr:nvSpPr>
      <xdr:spPr>
        <a:xfrm>
          <a:off x="5852161" y="822960"/>
          <a:ext cx="4800600" cy="82785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fr-FR" sz="1100" b="1">
              <a:solidFill>
                <a:srgbClr val="C00000"/>
              </a:solidFill>
            </a:rPr>
            <a:t>If you</a:t>
          </a:r>
          <a:r>
            <a:rPr lang="fr-FR" sz="1100" b="1" baseline="0">
              <a:solidFill>
                <a:srgbClr val="C00000"/>
              </a:solidFill>
            </a:rPr>
            <a:t> can't find one of your species in the table list (on the right). Please add it at the end of the Table, with required information (i.e. fill columns B to O). It will then appear in the list. Please also had it in the external ingredient file, for other users!</a:t>
          </a:r>
          <a:endParaRPr lang="fr-FR" sz="1100" b="1">
            <a:solidFill>
              <a:srgbClr val="C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340995</xdr:colOff>
      <xdr:row>3</xdr:row>
      <xdr:rowOff>40005</xdr:rowOff>
    </xdr:from>
    <xdr:to>
      <xdr:col>8</xdr:col>
      <xdr:colOff>1273629</xdr:colOff>
      <xdr:row>7</xdr:row>
      <xdr:rowOff>127635</xdr:rowOff>
    </xdr:to>
    <xdr:sp macro="" textlink="">
      <xdr:nvSpPr>
        <xdr:cNvPr id="2" name="Rectangle 1">
          <a:extLst>
            <a:ext uri="{FF2B5EF4-FFF2-40B4-BE49-F238E27FC236}">
              <a16:creationId xmlns:a16="http://schemas.microsoft.com/office/drawing/2014/main" id="{5863E97D-3EEE-45BD-B667-88043B54C15D}"/>
            </a:ext>
          </a:extLst>
        </xdr:cNvPr>
        <xdr:cNvSpPr/>
      </xdr:nvSpPr>
      <xdr:spPr>
        <a:xfrm>
          <a:off x="7438481" y="693148"/>
          <a:ext cx="8117205" cy="82785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fr-FR" sz="1100" b="1">
              <a:solidFill>
                <a:srgbClr val="C00000"/>
              </a:solidFill>
            </a:rPr>
            <a:t>If you</a:t>
          </a:r>
          <a:r>
            <a:rPr lang="fr-FR" sz="1100" b="1" baseline="0">
              <a:solidFill>
                <a:srgbClr val="C00000"/>
              </a:solidFill>
            </a:rPr>
            <a:t> can't find one of your ingredients in the table list (on the right). Please add it at the end of the Table, with required information (i.e. fill columns V to AH). It will then appear in the list. Please also had it in the external ingredient file, for other users!</a:t>
          </a:r>
          <a:endParaRPr lang="fr-FR" sz="1100" b="1">
            <a:solidFill>
              <a:srgbClr val="C00000"/>
            </a:solidFill>
          </a:endParaRPr>
        </a:p>
      </xdr:txBody>
    </xdr:sp>
    <xdr:clientData/>
  </xdr:twoCellAnchor>
  <xdr:twoCellAnchor editAs="oneCell">
    <xdr:from>
      <xdr:col>9</xdr:col>
      <xdr:colOff>276225</xdr:colOff>
      <xdr:row>2</xdr:row>
      <xdr:rowOff>145596</xdr:rowOff>
    </xdr:from>
    <xdr:to>
      <xdr:col>12</xdr:col>
      <xdr:colOff>1059369</xdr:colOff>
      <xdr:row>8</xdr:row>
      <xdr:rowOff>34982</xdr:rowOff>
    </xdr:to>
    <xdr:pic>
      <xdr:nvPicPr>
        <xdr:cNvPr id="3" name="Image 2">
          <a:extLst>
            <a:ext uri="{FF2B5EF4-FFF2-40B4-BE49-F238E27FC236}">
              <a16:creationId xmlns:a16="http://schemas.microsoft.com/office/drawing/2014/main" id="{651B7FF9-D1C0-4D0E-86E0-FD9F706C8C87}"/>
            </a:ext>
          </a:extLst>
        </xdr:cNvPr>
        <xdr:cNvPicPr>
          <a:picLocks noChangeAspect="1"/>
        </xdr:cNvPicPr>
      </xdr:nvPicPr>
      <xdr:blipFill>
        <a:blip xmlns:r="http://schemas.openxmlformats.org/officeDocument/2006/relationships" r:embed="rId1"/>
        <a:stretch>
          <a:fillRect/>
        </a:stretch>
      </xdr:blipFill>
      <xdr:spPr>
        <a:xfrm>
          <a:off x="15995196" y="602796"/>
          <a:ext cx="4995916" cy="101061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18</xdr:col>
      <xdr:colOff>238125</xdr:colOff>
      <xdr:row>168</xdr:row>
      <xdr:rowOff>114300</xdr:rowOff>
    </xdr:from>
    <xdr:to>
      <xdr:col>27</xdr:col>
      <xdr:colOff>426000</xdr:colOff>
      <xdr:row>193</xdr:row>
      <xdr:rowOff>142425</xdr:rowOff>
    </xdr:to>
    <xdr:graphicFrame macro="">
      <xdr:nvGraphicFramePr>
        <xdr:cNvPr id="21" name="Grafico 10">
          <a:extLst>
            <a:ext uri="{FF2B5EF4-FFF2-40B4-BE49-F238E27FC236}">
              <a16:creationId xmlns:a16="http://schemas.microsoft.com/office/drawing/2014/main" id="{F94A8810-D547-4972-8A8E-D7B0F044FE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271303</xdr:colOff>
      <xdr:row>2</xdr:row>
      <xdr:rowOff>47625</xdr:rowOff>
    </xdr:from>
    <xdr:to>
      <xdr:col>12</xdr:col>
      <xdr:colOff>107156</xdr:colOff>
      <xdr:row>9</xdr:row>
      <xdr:rowOff>130968</xdr:rowOff>
    </xdr:to>
    <xdr:sp macro="" textlink="">
      <xdr:nvSpPr>
        <xdr:cNvPr id="23" name="CasellaDiTesto 6">
          <a:extLst>
            <a:ext uri="{FF2B5EF4-FFF2-40B4-BE49-F238E27FC236}">
              <a16:creationId xmlns:a16="http://schemas.microsoft.com/office/drawing/2014/main" id="{6173B3B3-B17F-44F0-B8A9-B530E5890F78}"/>
            </a:ext>
          </a:extLst>
        </xdr:cNvPr>
        <xdr:cNvSpPr txBox="1"/>
      </xdr:nvSpPr>
      <xdr:spPr>
        <a:xfrm>
          <a:off x="5129053" y="238125"/>
          <a:ext cx="2586197" cy="9644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b="1">
              <a:solidFill>
                <a:srgbClr val="0000FF"/>
              </a:solidFill>
            </a:rPr>
            <a:t>INVESTMENTS</a:t>
          </a:r>
        </a:p>
        <a:p>
          <a:pPr algn="ctr"/>
          <a:r>
            <a:rPr lang="it-IT" sz="1100"/>
            <a:t>List here the different investments charachterizin</a:t>
          </a:r>
          <a:r>
            <a:rPr lang="it-IT" sz="1100" baseline="0"/>
            <a:t>g the plant. If the detail if not available please indicate the total investment required</a:t>
          </a:r>
          <a:endParaRPr lang="it-IT" sz="1100"/>
        </a:p>
      </xdr:txBody>
    </xdr:sp>
    <xdr:clientData/>
  </xdr:twoCellAnchor>
  <xdr:twoCellAnchor>
    <xdr:from>
      <xdr:col>6</xdr:col>
      <xdr:colOff>171449</xdr:colOff>
      <xdr:row>12</xdr:row>
      <xdr:rowOff>57150</xdr:rowOff>
    </xdr:from>
    <xdr:to>
      <xdr:col>16</xdr:col>
      <xdr:colOff>273842</xdr:colOff>
      <xdr:row>17</xdr:row>
      <xdr:rowOff>95249</xdr:rowOff>
    </xdr:to>
    <xdr:sp macro="" textlink="">
      <xdr:nvSpPr>
        <xdr:cNvPr id="24" name="CasellaDiTesto 7">
          <a:extLst>
            <a:ext uri="{FF2B5EF4-FFF2-40B4-BE49-F238E27FC236}">
              <a16:creationId xmlns:a16="http://schemas.microsoft.com/office/drawing/2014/main" id="{FEBB3078-DD29-41C2-B2AA-CC4CAB0BE280}"/>
            </a:ext>
          </a:extLst>
        </xdr:cNvPr>
        <xdr:cNvSpPr txBox="1"/>
      </xdr:nvSpPr>
      <xdr:spPr>
        <a:xfrm>
          <a:off x="5029199" y="1557338"/>
          <a:ext cx="5614987" cy="8477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b="1">
              <a:solidFill>
                <a:srgbClr val="0000FF"/>
              </a:solidFill>
            </a:rPr>
            <a:t>ORDINARY_MANAGEMENT_ EXPENSES</a:t>
          </a:r>
          <a:r>
            <a:rPr lang="it-IT" sz="1100"/>
            <a:t>  List here the different ordinary</a:t>
          </a:r>
          <a:r>
            <a:rPr lang="it-IT" sz="1100" baseline="0"/>
            <a:t> costs (e.g., manpower, production factors consumed, etc.) and for each of them specify the amount, the specific cost and the year in which the consumption starts and ends</a:t>
          </a:r>
          <a:endParaRPr lang="it-IT" sz="1100"/>
        </a:p>
      </xdr:txBody>
    </xdr:sp>
    <xdr:clientData/>
  </xdr:twoCellAnchor>
  <xdr:twoCellAnchor>
    <xdr:from>
      <xdr:col>3</xdr:col>
      <xdr:colOff>406401</xdr:colOff>
      <xdr:row>15</xdr:row>
      <xdr:rowOff>52387</xdr:rowOff>
    </xdr:from>
    <xdr:to>
      <xdr:col>6</xdr:col>
      <xdr:colOff>171449</xdr:colOff>
      <xdr:row>19</xdr:row>
      <xdr:rowOff>88900</xdr:rowOff>
    </xdr:to>
    <xdr:cxnSp macro="">
      <xdr:nvCxnSpPr>
        <xdr:cNvPr id="25" name="Connettore 2 3">
          <a:extLst>
            <a:ext uri="{FF2B5EF4-FFF2-40B4-BE49-F238E27FC236}">
              <a16:creationId xmlns:a16="http://schemas.microsoft.com/office/drawing/2014/main" id="{79B8C8F6-7060-4693-8989-84C1DA7362DF}"/>
            </a:ext>
          </a:extLst>
        </xdr:cNvPr>
        <xdr:cNvCxnSpPr>
          <a:stCxn id="24" idx="1"/>
        </xdr:cNvCxnSpPr>
      </xdr:nvCxnSpPr>
      <xdr:spPr>
        <a:xfrm flipH="1">
          <a:off x="3716339" y="1981200"/>
          <a:ext cx="1312860" cy="667544"/>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722789</xdr:colOff>
      <xdr:row>6</xdr:row>
      <xdr:rowOff>53578</xdr:rowOff>
    </xdr:from>
    <xdr:to>
      <xdr:col>6</xdr:col>
      <xdr:colOff>271303</xdr:colOff>
      <xdr:row>7</xdr:row>
      <xdr:rowOff>64135</xdr:rowOff>
    </xdr:to>
    <xdr:cxnSp macro="">
      <xdr:nvCxnSpPr>
        <xdr:cNvPr id="26" name="Connettore 2 12">
          <a:extLst>
            <a:ext uri="{FF2B5EF4-FFF2-40B4-BE49-F238E27FC236}">
              <a16:creationId xmlns:a16="http://schemas.microsoft.com/office/drawing/2014/main" id="{0565A58B-6958-46F0-8E74-7E41F34888E5}"/>
            </a:ext>
          </a:extLst>
        </xdr:cNvPr>
        <xdr:cNvCxnSpPr>
          <a:stCxn id="23" idx="1"/>
        </xdr:cNvCxnSpPr>
      </xdr:nvCxnSpPr>
      <xdr:spPr>
        <a:xfrm flipH="1">
          <a:off x="3294539" y="720328"/>
          <a:ext cx="1834514" cy="129620"/>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44450</xdr:colOff>
      <xdr:row>79</xdr:row>
      <xdr:rowOff>114300</xdr:rowOff>
    </xdr:from>
    <xdr:to>
      <xdr:col>8</xdr:col>
      <xdr:colOff>12700</xdr:colOff>
      <xdr:row>110</xdr:row>
      <xdr:rowOff>101600</xdr:rowOff>
    </xdr:to>
    <xdr:sp macro="" textlink="">
      <xdr:nvSpPr>
        <xdr:cNvPr id="27" name="CasellaDiTesto 16">
          <a:extLst>
            <a:ext uri="{FF2B5EF4-FFF2-40B4-BE49-F238E27FC236}">
              <a16:creationId xmlns:a16="http://schemas.microsoft.com/office/drawing/2014/main" id="{5F02055A-C313-455E-BF2F-0C3AC287BDED}"/>
            </a:ext>
          </a:extLst>
        </xdr:cNvPr>
        <xdr:cNvSpPr txBox="1"/>
      </xdr:nvSpPr>
      <xdr:spPr>
        <a:xfrm>
          <a:off x="4180205" y="11306175"/>
          <a:ext cx="1170305" cy="41173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b="1">
              <a:solidFill>
                <a:srgbClr val="0000FF"/>
              </a:solidFill>
            </a:rPr>
            <a:t>STRAORDINARY_MANAGEMENT_ EXPENSES</a:t>
          </a:r>
        </a:p>
        <a:p>
          <a:pPr algn="ctr"/>
          <a:r>
            <a:rPr lang="it-IT" sz="1100"/>
            <a:t>List here the different straordinary costs (e.g., substitution of devices, maintainance of building and other infrastructures, etc.) and for each of them specify the cost and the year in which the expense takes place (if an expense occurs more than one time, lists it more times)</a:t>
          </a:r>
        </a:p>
      </xdr:txBody>
    </xdr:sp>
    <xdr:clientData/>
  </xdr:twoCellAnchor>
  <xdr:twoCellAnchor>
    <xdr:from>
      <xdr:col>2</xdr:col>
      <xdr:colOff>158750</xdr:colOff>
      <xdr:row>129</xdr:row>
      <xdr:rowOff>44450</xdr:rowOff>
    </xdr:from>
    <xdr:to>
      <xdr:col>8</xdr:col>
      <xdr:colOff>6350</xdr:colOff>
      <xdr:row>136</xdr:row>
      <xdr:rowOff>57150</xdr:rowOff>
    </xdr:to>
    <xdr:sp macro="" textlink="">
      <xdr:nvSpPr>
        <xdr:cNvPr id="28" name="CasellaDiTesto 17">
          <a:extLst>
            <a:ext uri="{FF2B5EF4-FFF2-40B4-BE49-F238E27FC236}">
              <a16:creationId xmlns:a16="http://schemas.microsoft.com/office/drawing/2014/main" id="{C1E0E040-1A18-4B54-9117-25FD71ECCB6E}"/>
            </a:ext>
          </a:extLst>
        </xdr:cNvPr>
        <xdr:cNvSpPr txBox="1"/>
      </xdr:nvSpPr>
      <xdr:spPr>
        <a:xfrm>
          <a:off x="2799080" y="17753330"/>
          <a:ext cx="2543175" cy="9404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b="1">
              <a:solidFill>
                <a:srgbClr val="0000FF"/>
              </a:solidFill>
            </a:rPr>
            <a:t>INCOMES </a:t>
          </a:r>
          <a:r>
            <a:rPr lang="it-IT" sz="1100"/>
            <a:t>List here the different incomes</a:t>
          </a:r>
          <a:r>
            <a:rPr lang="it-IT" sz="1100" baseline="0"/>
            <a:t> and for each of them specify the amount, the specific cost and the year in which the production starts and ends. Please list also any subsidies</a:t>
          </a:r>
          <a:endParaRPr lang="it-IT" sz="1100"/>
        </a:p>
      </xdr:txBody>
    </xdr:sp>
    <xdr:clientData/>
  </xdr:twoCellAnchor>
  <xdr:twoCellAnchor>
    <xdr:from>
      <xdr:col>8</xdr:col>
      <xdr:colOff>12700</xdr:colOff>
      <xdr:row>133</xdr:row>
      <xdr:rowOff>31750</xdr:rowOff>
    </xdr:from>
    <xdr:to>
      <xdr:col>9</xdr:col>
      <xdr:colOff>463550</xdr:colOff>
      <xdr:row>139</xdr:row>
      <xdr:rowOff>44450</xdr:rowOff>
    </xdr:to>
    <xdr:cxnSp macro="">
      <xdr:nvCxnSpPr>
        <xdr:cNvPr id="29" name="Connettore 2 18">
          <a:extLst>
            <a:ext uri="{FF2B5EF4-FFF2-40B4-BE49-F238E27FC236}">
              <a16:creationId xmlns:a16="http://schemas.microsoft.com/office/drawing/2014/main" id="{A83A40A3-3A67-4B7A-87A6-453F65E1F067}"/>
            </a:ext>
          </a:extLst>
        </xdr:cNvPr>
        <xdr:cNvCxnSpPr>
          <a:stCxn id="30" idx="3"/>
        </xdr:cNvCxnSpPr>
      </xdr:nvCxnSpPr>
      <xdr:spPr>
        <a:xfrm flipV="1">
          <a:off x="5350510" y="18270220"/>
          <a:ext cx="515620" cy="816610"/>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139700</xdr:colOff>
      <xdr:row>136</xdr:row>
      <xdr:rowOff>88900</xdr:rowOff>
    </xdr:from>
    <xdr:to>
      <xdr:col>8</xdr:col>
      <xdr:colOff>12700</xdr:colOff>
      <xdr:row>142</xdr:row>
      <xdr:rowOff>0</xdr:rowOff>
    </xdr:to>
    <xdr:sp macro="" textlink="">
      <xdr:nvSpPr>
        <xdr:cNvPr id="30" name="CasellaDiTesto 22">
          <a:extLst>
            <a:ext uri="{FF2B5EF4-FFF2-40B4-BE49-F238E27FC236}">
              <a16:creationId xmlns:a16="http://schemas.microsoft.com/office/drawing/2014/main" id="{938085F7-18F0-4077-A89E-8327A2CBF5FF}"/>
            </a:ext>
          </a:extLst>
        </xdr:cNvPr>
        <xdr:cNvSpPr txBox="1"/>
      </xdr:nvSpPr>
      <xdr:spPr>
        <a:xfrm>
          <a:off x="2774315" y="18733135"/>
          <a:ext cx="2576195" cy="7073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a:t>List here the percentage yearly variation (%) of the differente income</a:t>
          </a:r>
          <a:r>
            <a:rPr lang="it-IT" sz="1100" baseline="0"/>
            <a:t> source. If they are suppose to be constant introduce 0%</a:t>
          </a:r>
          <a:r>
            <a:rPr lang="it-IT" sz="1100"/>
            <a:t> </a:t>
          </a:r>
        </a:p>
      </xdr:txBody>
    </xdr:sp>
    <xdr:clientData/>
  </xdr:twoCellAnchor>
  <xdr:twoCellAnchor>
    <xdr:from>
      <xdr:col>4</xdr:col>
      <xdr:colOff>146051</xdr:colOff>
      <xdr:row>127</xdr:row>
      <xdr:rowOff>12700</xdr:rowOff>
    </xdr:from>
    <xdr:to>
      <xdr:col>4</xdr:col>
      <xdr:colOff>441325</xdr:colOff>
      <xdr:row>129</xdr:row>
      <xdr:rowOff>44450</xdr:rowOff>
    </xdr:to>
    <xdr:cxnSp macro="">
      <xdr:nvCxnSpPr>
        <xdr:cNvPr id="31" name="Connettore 2 25">
          <a:extLst>
            <a:ext uri="{FF2B5EF4-FFF2-40B4-BE49-F238E27FC236}">
              <a16:creationId xmlns:a16="http://schemas.microsoft.com/office/drawing/2014/main" id="{C2277381-2299-4CCE-BFEA-EC6375D072AC}"/>
            </a:ext>
          </a:extLst>
        </xdr:cNvPr>
        <xdr:cNvCxnSpPr>
          <a:stCxn id="28" idx="0"/>
        </xdr:cNvCxnSpPr>
      </xdr:nvCxnSpPr>
      <xdr:spPr>
        <a:xfrm flipH="1" flipV="1">
          <a:off x="3801746" y="17532985"/>
          <a:ext cx="293369" cy="220345"/>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107950</xdr:colOff>
      <xdr:row>51</xdr:row>
      <xdr:rowOff>44450</xdr:rowOff>
    </xdr:from>
    <xdr:to>
      <xdr:col>7</xdr:col>
      <xdr:colOff>342900</xdr:colOff>
      <xdr:row>55</xdr:row>
      <xdr:rowOff>82550</xdr:rowOff>
    </xdr:to>
    <xdr:sp macro="" textlink="">
      <xdr:nvSpPr>
        <xdr:cNvPr id="32" name="CasellaDiTesto 33">
          <a:extLst>
            <a:ext uri="{FF2B5EF4-FFF2-40B4-BE49-F238E27FC236}">
              <a16:creationId xmlns:a16="http://schemas.microsoft.com/office/drawing/2014/main" id="{912C0468-56BD-4340-9F48-45A19AFE0AE6}"/>
            </a:ext>
          </a:extLst>
        </xdr:cNvPr>
        <xdr:cNvSpPr txBox="1"/>
      </xdr:nvSpPr>
      <xdr:spPr>
        <a:xfrm>
          <a:off x="2744470" y="7371080"/>
          <a:ext cx="2589530" cy="704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a:t>List here the percentage yearly variation (%) of the differente costs</a:t>
          </a:r>
          <a:r>
            <a:rPr lang="it-IT" sz="1100" baseline="0"/>
            <a:t>. If they are suppose to be constant introduce 0%</a:t>
          </a:r>
          <a:r>
            <a:rPr lang="it-IT" sz="1100"/>
            <a:t> </a:t>
          </a:r>
        </a:p>
      </xdr:txBody>
    </xdr:sp>
    <xdr:clientData/>
  </xdr:twoCellAnchor>
  <xdr:twoCellAnchor editAs="oneCell">
    <xdr:from>
      <xdr:col>18</xdr:col>
      <xdr:colOff>631031</xdr:colOff>
      <xdr:row>7</xdr:row>
      <xdr:rowOff>47625</xdr:rowOff>
    </xdr:from>
    <xdr:to>
      <xdr:col>25</xdr:col>
      <xdr:colOff>663742</xdr:colOff>
      <xdr:row>14</xdr:row>
      <xdr:rowOff>89411</xdr:rowOff>
    </xdr:to>
    <xdr:pic>
      <xdr:nvPicPr>
        <xdr:cNvPr id="34" name="Image 33">
          <a:extLst>
            <a:ext uri="{FF2B5EF4-FFF2-40B4-BE49-F238E27FC236}">
              <a16:creationId xmlns:a16="http://schemas.microsoft.com/office/drawing/2014/main" id="{297506D3-9069-4956-B132-529D5B98FE11}"/>
            </a:ext>
          </a:extLst>
        </xdr:cNvPr>
        <xdr:cNvPicPr>
          <a:picLocks noChangeAspect="1"/>
        </xdr:cNvPicPr>
      </xdr:nvPicPr>
      <xdr:blipFill>
        <a:blip xmlns:r="http://schemas.openxmlformats.org/officeDocument/2006/relationships" r:embed="rId2"/>
        <a:stretch>
          <a:fillRect/>
        </a:stretch>
      </xdr:blipFill>
      <xdr:spPr>
        <a:xfrm>
          <a:off x="12382500" y="833438"/>
          <a:ext cx="4866648" cy="104191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0</xdr:colOff>
      <xdr:row>31</xdr:row>
      <xdr:rowOff>0</xdr:rowOff>
    </xdr:from>
    <xdr:to>
      <xdr:col>7</xdr:col>
      <xdr:colOff>1390023</xdr:colOff>
      <xdr:row>36</xdr:row>
      <xdr:rowOff>89411</xdr:rowOff>
    </xdr:to>
    <xdr:pic>
      <xdr:nvPicPr>
        <xdr:cNvPr id="2" name="Image 1">
          <a:extLst>
            <a:ext uri="{FF2B5EF4-FFF2-40B4-BE49-F238E27FC236}">
              <a16:creationId xmlns:a16="http://schemas.microsoft.com/office/drawing/2014/main" id="{4EE58E7F-C918-4A96-A9A4-0DF85F79C76C}"/>
            </a:ext>
          </a:extLst>
        </xdr:cNvPr>
        <xdr:cNvPicPr>
          <a:picLocks noChangeAspect="1"/>
        </xdr:cNvPicPr>
      </xdr:nvPicPr>
      <xdr:blipFill>
        <a:blip xmlns:r="http://schemas.openxmlformats.org/officeDocument/2006/relationships" r:embed="rId1"/>
        <a:stretch>
          <a:fillRect/>
        </a:stretch>
      </xdr:blipFill>
      <xdr:spPr>
        <a:xfrm>
          <a:off x="6562725" y="6038850"/>
          <a:ext cx="4866648" cy="104191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0</xdr:colOff>
      <xdr:row>13</xdr:row>
      <xdr:rowOff>0</xdr:rowOff>
    </xdr:from>
    <xdr:to>
      <xdr:col>18</xdr:col>
      <xdr:colOff>523248</xdr:colOff>
      <xdr:row>18</xdr:row>
      <xdr:rowOff>89411</xdr:rowOff>
    </xdr:to>
    <xdr:pic>
      <xdr:nvPicPr>
        <xdr:cNvPr id="2" name="Image 1">
          <a:extLst>
            <a:ext uri="{FF2B5EF4-FFF2-40B4-BE49-F238E27FC236}">
              <a16:creationId xmlns:a16="http://schemas.microsoft.com/office/drawing/2014/main" id="{351B4526-85C7-4058-8101-A4E4AAF7C140}"/>
            </a:ext>
          </a:extLst>
        </xdr:cNvPr>
        <xdr:cNvPicPr>
          <a:picLocks noChangeAspect="1"/>
        </xdr:cNvPicPr>
      </xdr:nvPicPr>
      <xdr:blipFill>
        <a:blip xmlns:r="http://schemas.openxmlformats.org/officeDocument/2006/relationships" r:embed="rId1"/>
        <a:stretch>
          <a:fillRect/>
        </a:stretch>
      </xdr:blipFill>
      <xdr:spPr>
        <a:xfrm>
          <a:off x="8505825" y="2571750"/>
          <a:ext cx="4866648" cy="104191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4</xdr:col>
      <xdr:colOff>329565</xdr:colOff>
      <xdr:row>1</xdr:row>
      <xdr:rowOff>167640</xdr:rowOff>
    </xdr:from>
    <xdr:to>
      <xdr:col>8</xdr:col>
      <xdr:colOff>354330</xdr:colOff>
      <xdr:row>4</xdr:row>
      <xdr:rowOff>0</xdr:rowOff>
    </xdr:to>
    <xdr:pic>
      <xdr:nvPicPr>
        <xdr:cNvPr id="2" name="Image 1">
          <a:extLst>
            <a:ext uri="{FF2B5EF4-FFF2-40B4-BE49-F238E27FC236}">
              <a16:creationId xmlns:a16="http://schemas.microsoft.com/office/drawing/2014/main" id="{D1DC2453-BE0E-46D7-8FAD-3AC6E8EE6FE7}"/>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958715" y="424815"/>
          <a:ext cx="3187065" cy="394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428625</xdr:colOff>
      <xdr:row>7</xdr:row>
      <xdr:rowOff>0</xdr:rowOff>
    </xdr:from>
    <xdr:to>
      <xdr:col>16</xdr:col>
      <xdr:colOff>227973</xdr:colOff>
      <xdr:row>12</xdr:row>
      <xdr:rowOff>89411</xdr:rowOff>
    </xdr:to>
    <xdr:pic>
      <xdr:nvPicPr>
        <xdr:cNvPr id="3" name="Image 2">
          <a:extLst>
            <a:ext uri="{FF2B5EF4-FFF2-40B4-BE49-F238E27FC236}">
              <a16:creationId xmlns:a16="http://schemas.microsoft.com/office/drawing/2014/main" id="{D6C46424-F89B-486D-AE83-04E918718AA8}"/>
            </a:ext>
          </a:extLst>
        </xdr:cNvPr>
        <xdr:cNvPicPr>
          <a:picLocks noChangeAspect="1"/>
        </xdr:cNvPicPr>
      </xdr:nvPicPr>
      <xdr:blipFill>
        <a:blip xmlns:r="http://schemas.openxmlformats.org/officeDocument/2006/relationships" r:embed="rId2"/>
        <a:stretch>
          <a:fillRect/>
        </a:stretch>
      </xdr:blipFill>
      <xdr:spPr>
        <a:xfrm>
          <a:off x="8410575" y="1447800"/>
          <a:ext cx="4866648" cy="104191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A2B3BBF-DA81-41EB-9EE0-84BE1BF33C51}" name="Table_coproducts" displayName="Table_coproducts" ref="B30:O59" totalsRowShown="0">
  <autoFilter ref="B30:O59" xr:uid="{85E888A7-50B5-4D8A-A5D2-825C482C5795}"/>
  <tableColumns count="14">
    <tableColumn id="1" xr3:uid="{BF649126-4E5C-453C-A913-F2156CCA2408}" name="Product"/>
    <tableColumn id="2" xr3:uid="{801ABED6-209A-4BFB-B418-AA6EB79CFF32}" name="Scientif name"/>
    <tableColumn id="4" xr3:uid="{9F8DA63C-4C49-44F9-9777-D2DE39120373}" name="Dry matter (%)" dataDxfId="30"/>
    <tableColumn id="5" xr3:uid="{E0EAAF03-114C-4EA4-A07B-085EA796F3B7}" name="Gross Energy (MJ/kg)" dataDxfId="29"/>
    <tableColumn id="15" xr3:uid="{924C4289-CBE6-45BB-BDF1-F211B45437E2}" name="Protein (%)" dataDxfId="28"/>
    <tableColumn id="3" xr3:uid="{6969C178-E238-42E4-95EA-D2BD9BECC7CF}" name="Lipids (%)" dataDxfId="27"/>
    <tableColumn id="6" xr3:uid="{661B3EB7-4102-4DD4-B71D-1F8C718F674F}" name="Nitrogen (%)" dataDxfId="26"/>
    <tableColumn id="7" xr3:uid="{DD2655F1-FA5C-4AD4-A90E-65439FFFA24E}" name="Phosphorus (%)" dataDxfId="25"/>
    <tableColumn id="8" xr3:uid="{C1B37A74-DB41-417F-B9D3-C20524382C54}" name="Protein" dataDxfId="24"/>
    <tableColumn id="9" xr3:uid="{C1ABA9EA-8449-449D-9230-5BAE68BB5A2D}" name="Lipids" dataDxfId="23"/>
    <tableColumn id="10" xr3:uid="{56E0EDC6-9776-4E24-98E0-B80C5A12729E}" name="Carbohydrates" dataDxfId="22"/>
    <tableColumn id="11" xr3:uid="{E25AB5B0-445E-419C-A4DC-CDC088B1FB80}" name="Fibers" dataDxfId="21"/>
    <tableColumn id="12" xr3:uid="{9ECFFBEB-59AE-4910-B4DF-85AA6614D63C}" name="Ash" dataDxfId="20"/>
    <tableColumn id="13" xr3:uid="{CE67341F-42A4-4935-8571-DFEC17081529}" name="Phosphorus" dataDxfId="19"/>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CD29030-13F7-44F7-977C-F17ADC9C2374}" name="Table_ingredients" displayName="Table_ingredients" ref="V3:AH628" totalsRowShown="0" headerRowBorderDxfId="18">
  <autoFilter ref="V3:AH628" xr:uid="{D68C7320-8228-445B-B367-F2995DF5C2A8}"/>
  <sortState xmlns:xlrd2="http://schemas.microsoft.com/office/spreadsheetml/2017/richdata2" ref="V4:X603">
    <sortCondition ref="V3"/>
  </sortState>
  <tableColumns count="13">
    <tableColumn id="1" xr3:uid="{293ADA04-FC28-45AC-AE09-275F545877E4}" name="Feeds"/>
    <tableColumn id="2" xr3:uid="{032016AC-8B75-47F4-9574-6F5CDCBEDE75}" name="Protein (%)" dataDxfId="17" dataCellStyle="Pourcentage"/>
    <tableColumn id="3" xr3:uid="{2E933B8C-F2EF-4623-9588-9A7EBB7D6A70}" name="Fat (%)" dataDxfId="16" dataCellStyle="Pourcentage"/>
    <tableColumn id="7" xr3:uid="{93F1610C-A16A-44B5-A14D-C0F833F61BE9}" name="Carbohydrate (%)" dataDxfId="15" dataCellStyle="Pourcentage"/>
    <tableColumn id="4" xr3:uid="{9F2380C3-16F5-47D0-9FC3-05412880D068}" name="Fibres (%)" dataDxfId="14" dataCellStyle="Pourcentage"/>
    <tableColumn id="5" xr3:uid="{37820175-6FB2-4A20-B3A5-31AD6CB05B07}" name="Ashes (%)" dataDxfId="13" dataCellStyle="Pourcentage"/>
    <tableColumn id="6" xr3:uid="{082457EA-5918-490F-9181-F438F39DF94D}" name="Phosphorus (%)" dataDxfId="12" dataCellStyle="Pourcentage"/>
    <tableColumn id="8" xr3:uid="{D82C3D9A-5D46-409D-8ED4-78DC1D3CB590}" name="Water (%)" dataDxfId="11" dataCellStyle="Pourcentage"/>
    <tableColumn id="9" xr3:uid="{EF313720-A4E5-4A3C-89B3-59F9B99E8A88}" name="Nitrogen content (%)" dataDxfId="10" dataCellStyle="Pourcentage"/>
    <tableColumn id="10" xr3:uid="{AD292C18-094B-4DB3-A3A8-95DF182458AD}" name="Dry matter (%)" dataDxfId="9" dataCellStyle="Pourcentage"/>
    <tableColumn id="11" xr3:uid="{7CCD1CCA-D21A-4758-A4C5-7BE76AE4AF18}" name="Source"/>
    <tableColumn id="12" xr3:uid="{2238CC88-C320-4ACA-A266-07F416BCBAF7}" name="Origin"/>
    <tableColumn id="13" xr3:uid="{A61FBBE2-392C-40DE-B2A8-703C2B9AE04E}" name="Coproduct (Y/N)"/>
  </tableColumns>
  <tableStyleInfo name="TableStyleLight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file:///C:\Users\sam_l\AppData\Local\Packages\microsoft.windowscommunicationsapps_8wekyb3d8bbwe\LocalState\Files\S0\11997\Attachments\Copie%20de%20Template%20DEXIAQUA%20BDV_15_09_20.xlsm" TargetMode="External"/><Relationship Id="rId7" Type="http://schemas.openxmlformats.org/officeDocument/2006/relationships/printerSettings" Target="../printerSettings/printerSettings2.bin"/><Relationship Id="rId2" Type="http://schemas.openxmlformats.org/officeDocument/2006/relationships/hyperlink" Target="file:///C:\Users\sam_l\AppData\Local\Packages\microsoft.windowscommunicationsapps_8wekyb3d8bbwe\LocalState\Files\S0\11997\Attachments\Copie%20de%20Template%20DEXIAQUA%20BDV_15_09_20.xlsm" TargetMode="External"/><Relationship Id="rId1" Type="http://schemas.openxmlformats.org/officeDocument/2006/relationships/hyperlink" Target="file:///C:\Users\sam_l\AppData\Local\Packages\microsoft.windowscommunicationsapps_8wekyb3d8bbwe\LocalState\Files\S0\11997\Attachments\Copie%20de%20Template%20DEXIAQUA%20BDV_15_09_20.xlsm" TargetMode="External"/><Relationship Id="rId6" Type="http://schemas.openxmlformats.org/officeDocument/2006/relationships/hyperlink" Target="file:///C:\Users\sam_l\AppData\Local\Packages\microsoft.windowscommunicationsapps_8wekyb3d8bbwe\LocalState\Files\S0\11997\Attachments\Copie%20de%20Template%20DEXIAQUA%20BDV_15_09_20.xlsm" TargetMode="External"/><Relationship Id="rId5" Type="http://schemas.openxmlformats.org/officeDocument/2006/relationships/hyperlink" Target="file:///C:\Users\sam_l\AppData\Local\Packages\microsoft.windowscommunicationsapps_8wekyb3d8bbwe\LocalState\Files\S0\11997\Attachments\Copie%20de%20Template%20DEXIAQUA%20BDV_15_09_20.xlsm" TargetMode="External"/><Relationship Id="rId4" Type="http://schemas.openxmlformats.org/officeDocument/2006/relationships/hyperlink" Target="file:///C:\Users\sam_l\AppData\Local\Packages\microsoft.windowscommunicationsapps_8wekyb3d8bbwe\LocalState\Files\S0\11997\Attachments\Copie%20de%20Template%20DEXIAQUA%20BDV_15_09_20.xlsm"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50CC1-97B2-4AF6-89D6-CC0632380451}">
  <sheetPr codeName="Feuil1">
    <tabColor rgb="FFC00000"/>
  </sheetPr>
  <dimension ref="J2:N18"/>
  <sheetViews>
    <sheetView workbookViewId="0">
      <selection activeCell="N40" sqref="N40"/>
    </sheetView>
  </sheetViews>
  <sheetFormatPr baseColWidth="10" defaultColWidth="10.7109375" defaultRowHeight="15" x14ac:dyDescent="0.25"/>
  <cols>
    <col min="10" max="12" width="11.42578125" style="59"/>
    <col min="14" max="14" width="60.7109375" customWidth="1"/>
  </cols>
  <sheetData>
    <row r="2" spans="13:14" ht="15.75" thickBot="1" x14ac:dyDescent="0.3"/>
    <row r="3" spans="13:14" ht="15.75" thickBot="1" x14ac:dyDescent="0.3">
      <c r="M3" s="820" t="s">
        <v>1210</v>
      </c>
      <c r="N3" s="821"/>
    </row>
    <row r="4" spans="13:14" x14ac:dyDescent="0.25">
      <c r="M4" s="98"/>
      <c r="N4" s="99" t="s">
        <v>1119</v>
      </c>
    </row>
    <row r="5" spans="13:14" x14ac:dyDescent="0.25">
      <c r="M5" s="100"/>
      <c r="N5" s="24" t="s">
        <v>1120</v>
      </c>
    </row>
    <row r="6" spans="13:14" x14ac:dyDescent="0.25">
      <c r="M6" s="101"/>
      <c r="N6" s="24" t="s">
        <v>1121</v>
      </c>
    </row>
    <row r="7" spans="13:14" ht="15.75" thickBot="1" x14ac:dyDescent="0.3">
      <c r="M7" s="102"/>
      <c r="N7" s="25" t="s">
        <v>468</v>
      </c>
    </row>
    <row r="18" spans="14:14" x14ac:dyDescent="0.25">
      <c r="N18" s="59"/>
    </row>
  </sheetData>
  <mergeCells count="1">
    <mergeCell ref="M3:N3"/>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7">
    <tabColor theme="2" tint="-0.499984740745262"/>
  </sheetPr>
  <dimension ref="A1:D13"/>
  <sheetViews>
    <sheetView workbookViewId="0">
      <selection activeCell="C17" sqref="C17"/>
    </sheetView>
  </sheetViews>
  <sheetFormatPr baseColWidth="10" defaultColWidth="10.7109375" defaultRowHeight="15" x14ac:dyDescent="0.25"/>
  <cols>
    <col min="2" max="2" width="113.42578125" bestFit="1" customWidth="1"/>
    <col min="3" max="3" width="17.42578125" customWidth="1"/>
    <col min="4" max="4" width="17" bestFit="1" customWidth="1"/>
    <col min="5" max="5" width="16.42578125" bestFit="1" customWidth="1"/>
    <col min="7" max="7" width="17" bestFit="1" customWidth="1"/>
  </cols>
  <sheetData>
    <row r="1" spans="1:4" ht="20.25" thickBot="1" x14ac:dyDescent="0.35">
      <c r="A1" s="9" t="s">
        <v>105</v>
      </c>
      <c r="B1" s="2"/>
    </row>
    <row r="2" spans="1:4" ht="15.75" thickTop="1" x14ac:dyDescent="0.25"/>
    <row r="3" spans="1:4" x14ac:dyDescent="0.25">
      <c r="B3" s="43" t="s">
        <v>471</v>
      </c>
    </row>
    <row r="4" spans="1:4" ht="15.75" thickBot="1" x14ac:dyDescent="0.3"/>
    <row r="5" spans="1:4" ht="15.75" thickBot="1" x14ac:dyDescent="0.3">
      <c r="B5" s="36" t="s">
        <v>108</v>
      </c>
      <c r="C5" s="37" t="s">
        <v>470</v>
      </c>
      <c r="D5" s="38" t="s">
        <v>117</v>
      </c>
    </row>
    <row r="6" spans="1:4" x14ac:dyDescent="0.25">
      <c r="B6" s="11" t="s">
        <v>109</v>
      </c>
      <c r="C6" s="103"/>
      <c r="D6" s="115">
        <f>IF(C6="Yes",1,0)</f>
        <v>0</v>
      </c>
    </row>
    <row r="7" spans="1:4" x14ac:dyDescent="0.25">
      <c r="B7" s="13" t="s">
        <v>110</v>
      </c>
      <c r="C7" s="109"/>
      <c r="D7" s="120">
        <f t="shared" ref="D7:D10" si="0">IF(C7="Yes",1,0)</f>
        <v>0</v>
      </c>
    </row>
    <row r="8" spans="1:4" x14ac:dyDescent="0.25">
      <c r="B8" s="13" t="s">
        <v>111</v>
      </c>
      <c r="C8" s="109"/>
      <c r="D8" s="120">
        <f t="shared" si="0"/>
        <v>0</v>
      </c>
    </row>
    <row r="9" spans="1:4" x14ac:dyDescent="0.25">
      <c r="B9" s="13" t="s">
        <v>112</v>
      </c>
      <c r="C9" s="109"/>
      <c r="D9" s="120">
        <f t="shared" si="0"/>
        <v>0</v>
      </c>
    </row>
    <row r="10" spans="1:4" ht="15.75" thickBot="1" x14ac:dyDescent="0.3">
      <c r="B10" s="14" t="s">
        <v>113</v>
      </c>
      <c r="C10" s="110"/>
      <c r="D10" s="121">
        <f t="shared" si="0"/>
        <v>0</v>
      </c>
    </row>
    <row r="12" spans="1:4" ht="15.75" thickBot="1" x14ac:dyDescent="0.3"/>
    <row r="13" spans="1:4" ht="15.75" thickBot="1" x14ac:dyDescent="0.3">
      <c r="C13" s="119" t="s">
        <v>479</v>
      </c>
      <c r="D13" s="118">
        <f>SUM(D6:D10)</f>
        <v>0</v>
      </c>
    </row>
  </sheetData>
  <dataValidations count="1">
    <dataValidation type="list" allowBlank="1" showInputMessage="1" showErrorMessage="1" sqref="C6:C10" xr:uid="{4C8FD6CF-72C8-4D63-8505-68087C87A71E}">
      <formula1>"Yes, No"</formula1>
    </dataValidation>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8">
    <tabColor theme="2" tint="-0.499984740745262"/>
  </sheetPr>
  <dimension ref="A1:F16"/>
  <sheetViews>
    <sheetView workbookViewId="0">
      <selection activeCell="F29" sqref="F29"/>
    </sheetView>
  </sheetViews>
  <sheetFormatPr baseColWidth="10" defaultColWidth="10.7109375" defaultRowHeight="15" x14ac:dyDescent="0.25"/>
  <cols>
    <col min="2" max="2" width="48.42578125" customWidth="1"/>
    <col min="3" max="3" width="23.42578125" bestFit="1" customWidth="1"/>
    <col min="4" max="4" width="8.42578125" bestFit="1" customWidth="1"/>
    <col min="5" max="5" width="32.7109375" bestFit="1" customWidth="1"/>
  </cols>
  <sheetData>
    <row r="1" spans="1:6" ht="20.25" thickBot="1" x14ac:dyDescent="0.3">
      <c r="A1" s="950" t="s">
        <v>118</v>
      </c>
      <c r="B1" s="950"/>
      <c r="C1" s="950"/>
    </row>
    <row r="2" spans="1:6" ht="15.75" thickTop="1" x14ac:dyDescent="0.25"/>
    <row r="3" spans="1:6" x14ac:dyDescent="0.25">
      <c r="B3" s="43" t="s">
        <v>458</v>
      </c>
    </row>
    <row r="4" spans="1:6" ht="15.75" thickBot="1" x14ac:dyDescent="0.3"/>
    <row r="5" spans="1:6" ht="15.75" thickBot="1" x14ac:dyDescent="0.3">
      <c r="B5" s="36" t="s">
        <v>120</v>
      </c>
      <c r="C5" s="37" t="s">
        <v>121</v>
      </c>
      <c r="D5" s="37" t="s">
        <v>122</v>
      </c>
      <c r="E5" s="37" t="s">
        <v>2</v>
      </c>
      <c r="F5" s="38" t="s">
        <v>117</v>
      </c>
    </row>
    <row r="6" spans="1:6" ht="15" customHeight="1" x14ac:dyDescent="0.25">
      <c r="B6" s="21" t="s">
        <v>123</v>
      </c>
      <c r="C6" s="111"/>
      <c r="D6" s="111"/>
      <c r="E6" s="35" t="s">
        <v>127</v>
      </c>
      <c r="F6" s="120">
        <f>C6*D6</f>
        <v>0</v>
      </c>
    </row>
    <row r="7" spans="1:6" ht="30" x14ac:dyDescent="0.25">
      <c r="B7" s="13" t="s">
        <v>124</v>
      </c>
      <c r="C7" s="111"/>
      <c r="D7" s="111"/>
      <c r="E7" s="34" t="s">
        <v>127</v>
      </c>
      <c r="F7" s="116">
        <f t="shared" ref="F7:F9" si="0">C7*D7</f>
        <v>0</v>
      </c>
    </row>
    <row r="8" spans="1:6" ht="30" x14ac:dyDescent="0.25">
      <c r="B8" s="13" t="s">
        <v>125</v>
      </c>
      <c r="C8" s="111"/>
      <c r="D8" s="111"/>
      <c r="E8" s="34" t="s">
        <v>127</v>
      </c>
      <c r="F8" s="116">
        <f t="shared" si="0"/>
        <v>0</v>
      </c>
    </row>
    <row r="9" spans="1:6" ht="30.75" thickBot="1" x14ac:dyDescent="0.3">
      <c r="B9" s="16" t="s">
        <v>126</v>
      </c>
      <c r="C9" s="111"/>
      <c r="D9" s="111"/>
      <c r="E9" s="39" t="s">
        <v>127</v>
      </c>
      <c r="F9" s="122">
        <f t="shared" si="0"/>
        <v>0</v>
      </c>
    </row>
    <row r="10" spans="1:6" ht="15.75" thickBot="1" x14ac:dyDescent="0.3">
      <c r="B10" s="947" t="s">
        <v>419</v>
      </c>
      <c r="C10" s="948"/>
      <c r="D10" s="948"/>
      <c r="E10" s="949"/>
      <c r="F10" s="123">
        <f>SUM(F6:F9)</f>
        <v>0</v>
      </c>
    </row>
    <row r="12" spans="1:6" ht="15.75" thickBot="1" x14ac:dyDescent="0.3"/>
    <row r="13" spans="1:6" ht="15.75" thickBot="1" x14ac:dyDescent="0.3">
      <c r="E13" s="119" t="s">
        <v>116</v>
      </c>
      <c r="F13" s="118">
        <f>IF(F6=9,24,IF(F7=9,24,IF(F8=9,24,IF(F9=9,24,F10))))</f>
        <v>0</v>
      </c>
    </row>
    <row r="16" spans="1:6" x14ac:dyDescent="0.25">
      <c r="B16" s="40" t="s">
        <v>1564</v>
      </c>
    </row>
  </sheetData>
  <mergeCells count="2">
    <mergeCell ref="B10:E10"/>
    <mergeCell ref="A1:C1"/>
  </mergeCells>
  <dataValidations count="2">
    <dataValidation type="list" allowBlank="1" showInputMessage="1" showErrorMessage="1" sqref="C6:C9" xr:uid="{6C1E1208-3B9F-4657-AD02-26F1FB5CA6ED}">
      <formula1>"0,1,2,3"</formula1>
    </dataValidation>
    <dataValidation type="list" allowBlank="1" showInputMessage="1" showErrorMessage="1" sqref="D6:D9" xr:uid="{CE897930-72CE-491D-9021-B3C12C0504B8}">
      <formula1>"1,2,3"</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5774C-8B01-41D5-A8E3-B61BA95FF4A9}">
  <sheetPr>
    <tabColor theme="2" tint="-0.499984740745262"/>
  </sheetPr>
  <dimension ref="A1:BD165"/>
  <sheetViews>
    <sheetView workbookViewId="0">
      <selection activeCell="E3" sqref="E3"/>
    </sheetView>
  </sheetViews>
  <sheetFormatPr baseColWidth="10" defaultColWidth="11.42578125" defaultRowHeight="11.25" x14ac:dyDescent="0.2"/>
  <cols>
    <col min="1" max="1" width="36" style="165" bestFit="1" customWidth="1"/>
    <col min="2" max="2" width="17.42578125" style="165" customWidth="1"/>
    <col min="3" max="3" width="10.140625" style="165" customWidth="1"/>
    <col min="4" max="4" width="14.42578125" style="165" customWidth="1"/>
    <col min="5" max="5" width="29.42578125" style="165" customWidth="1"/>
    <col min="6" max="6" width="12.7109375" style="165" customWidth="1"/>
    <col min="7" max="7" width="14.42578125" style="165" customWidth="1"/>
    <col min="8" max="8" width="16.42578125" style="165" customWidth="1"/>
    <col min="9" max="9" width="20.42578125" style="165" customWidth="1"/>
    <col min="10" max="11" width="14.140625" style="165" customWidth="1"/>
    <col min="12" max="12" width="9.42578125" style="165" customWidth="1"/>
    <col min="13" max="13" width="20.42578125" style="165" customWidth="1"/>
    <col min="14" max="14" width="36.42578125" style="165" customWidth="1"/>
    <col min="15" max="15" width="12.140625" style="165" customWidth="1"/>
    <col min="16" max="16" width="18.140625" style="165" customWidth="1"/>
    <col min="17" max="17" width="11.42578125" style="165"/>
    <col min="18" max="18" width="15.42578125" style="165" customWidth="1"/>
    <col min="19" max="19" width="11.42578125" style="165"/>
    <col min="20" max="20" width="17.42578125" style="165" customWidth="1"/>
    <col min="21" max="21" width="14.42578125" style="165" customWidth="1"/>
    <col min="22" max="22" width="29.42578125" style="165" customWidth="1"/>
    <col min="23" max="24" width="12.42578125" style="165" customWidth="1"/>
    <col min="25" max="25" width="4.140625" style="165" customWidth="1"/>
    <col min="26" max="26" width="14.42578125" style="165" customWidth="1"/>
    <col min="27" max="36" width="13" style="165" customWidth="1"/>
    <col min="37" max="38" width="12" style="165" customWidth="1"/>
    <col min="39" max="43" width="11.42578125" style="165" customWidth="1"/>
    <col min="44" max="44" width="11.42578125" style="167" customWidth="1"/>
    <col min="45" max="48" width="11.42578125" style="165" customWidth="1"/>
    <col min="49" max="49" width="10.140625" style="165" customWidth="1"/>
    <col min="50" max="50" width="21.7109375" style="165" customWidth="1"/>
    <col min="51" max="51" width="8.7109375" style="165" customWidth="1"/>
    <col min="52" max="52" width="7.42578125" style="165" customWidth="1"/>
    <col min="53" max="53" width="7.140625" style="165" bestFit="1" customWidth="1"/>
    <col min="54" max="54" width="10.42578125" style="165" customWidth="1"/>
    <col min="55" max="55" width="14" style="165" customWidth="1"/>
    <col min="56" max="56" width="7" style="165" customWidth="1"/>
    <col min="57" max="16384" width="11.42578125" style="165"/>
  </cols>
  <sheetData>
    <row r="1" spans="1:53" ht="15.75" customHeight="1" thickBot="1" x14ac:dyDescent="0.25">
      <c r="J1" s="166"/>
      <c r="AX1" s="953" t="s">
        <v>1217</v>
      </c>
      <c r="AY1" s="954"/>
      <c r="AZ1" s="954"/>
      <c r="BA1" s="955"/>
    </row>
    <row r="2" spans="1:53" ht="15.75" customHeight="1" thickBot="1" x14ac:dyDescent="0.3">
      <c r="A2" s="165" t="s">
        <v>1548</v>
      </c>
      <c r="B2" s="165">
        <v>0</v>
      </c>
      <c r="J2" s="980" t="s">
        <v>1218</v>
      </c>
      <c r="K2" s="981"/>
      <c r="L2" s="982"/>
      <c r="N2" s="956" t="s">
        <v>1219</v>
      </c>
      <c r="O2" s="957"/>
      <c r="P2" s="957"/>
      <c r="Q2" s="957"/>
      <c r="R2" s="957"/>
      <c r="S2" s="958"/>
      <c r="V2" s="169" t="s">
        <v>1220</v>
      </c>
      <c r="W2" s="170"/>
      <c r="X2" s="171"/>
      <c r="AA2" s="959" t="s">
        <v>1221</v>
      </c>
      <c r="AB2" s="960"/>
      <c r="AC2" s="960"/>
      <c r="AD2" s="960"/>
      <c r="AE2" s="960"/>
      <c r="AF2" s="960"/>
      <c r="AG2" s="960"/>
      <c r="AH2" s="960"/>
      <c r="AI2" s="960"/>
      <c r="AJ2" s="961"/>
      <c r="AM2" s="959" t="s">
        <v>1222</v>
      </c>
      <c r="AN2" s="960"/>
      <c r="AO2" s="960"/>
      <c r="AP2" s="960"/>
      <c r="AQ2" s="960"/>
      <c r="AR2" s="960"/>
      <c r="AS2" s="960"/>
      <c r="AT2" s="960"/>
      <c r="AU2" s="960"/>
      <c r="AV2" s="961"/>
      <c r="AX2" s="172"/>
      <c r="AZ2" s="173" t="s">
        <v>1223</v>
      </c>
      <c r="BA2" s="174" t="s">
        <v>1224</v>
      </c>
    </row>
    <row r="3" spans="1:53" ht="15.75" customHeight="1" thickBot="1" x14ac:dyDescent="0.25">
      <c r="D3" s="175"/>
      <c r="E3" s="176"/>
      <c r="F3" s="177" t="s">
        <v>1225</v>
      </c>
      <c r="G3" s="177" t="s">
        <v>1226</v>
      </c>
      <c r="H3" s="178" t="s">
        <v>1227</v>
      </c>
      <c r="I3" s="467" t="s">
        <v>1228</v>
      </c>
      <c r="J3" s="179" t="s">
        <v>1229</v>
      </c>
      <c r="K3" s="180" t="s">
        <v>1230</v>
      </c>
      <c r="L3" s="181" t="s">
        <v>1231</v>
      </c>
      <c r="N3" s="634" t="s">
        <v>1232</v>
      </c>
      <c r="O3" s="635" t="s">
        <v>7</v>
      </c>
      <c r="P3" s="635" t="s">
        <v>1638</v>
      </c>
      <c r="Q3" s="636" t="s">
        <v>1233</v>
      </c>
      <c r="R3" s="636" t="s">
        <v>1234</v>
      </c>
      <c r="S3" s="637" t="s">
        <v>1235</v>
      </c>
      <c r="V3" s="183" t="s">
        <v>1236</v>
      </c>
      <c r="W3" s="181" t="s">
        <v>1237</v>
      </c>
      <c r="X3" s="184" t="s">
        <v>1238</v>
      </c>
      <c r="AA3" s="962" t="s">
        <v>1239</v>
      </c>
      <c r="AB3" s="963"/>
      <c r="AC3" s="963"/>
      <c r="AD3" s="963"/>
      <c r="AE3" s="964"/>
      <c r="AF3" s="962" t="s">
        <v>1240</v>
      </c>
      <c r="AG3" s="963"/>
      <c r="AH3" s="963"/>
      <c r="AI3" s="963"/>
      <c r="AJ3" s="964"/>
      <c r="AM3" s="965" t="s">
        <v>1237</v>
      </c>
      <c r="AN3" s="966"/>
      <c r="AO3" s="966"/>
      <c r="AP3" s="966"/>
      <c r="AQ3" s="967"/>
      <c r="AR3" s="962" t="s">
        <v>1241</v>
      </c>
      <c r="AS3" s="963"/>
      <c r="AT3" s="963"/>
      <c r="AU3" s="963"/>
      <c r="AV3" s="964"/>
      <c r="AX3" s="185" t="s">
        <v>1242</v>
      </c>
      <c r="AY3" s="186" t="s">
        <v>1243</v>
      </c>
      <c r="AZ3" s="187">
        <v>0</v>
      </c>
      <c r="BA3" s="188">
        <v>0</v>
      </c>
    </row>
    <row r="4" spans="1:53" ht="14.25" customHeight="1" x14ac:dyDescent="0.25">
      <c r="E4" s="468">
        <f>'Sheet 1'!B16</f>
        <v>0</v>
      </c>
      <c r="F4" s="191">
        <f>'Sheet 1'!E16</f>
        <v>0</v>
      </c>
      <c r="G4" s="190">
        <v>0</v>
      </c>
      <c r="H4" s="191">
        <f>B8</f>
        <v>0</v>
      </c>
      <c r="I4" s="501" t="e">
        <f>F4/SUM($F$4:$F$13)</f>
        <v>#DIV/0!</v>
      </c>
      <c r="J4" s="504" t="str">
        <f>'Sheet 1'!K16</f>
        <v/>
      </c>
      <c r="K4" s="192" t="str">
        <f>'Sheet 1'!N16</f>
        <v/>
      </c>
      <c r="L4" s="193" t="str">
        <f>'Sheet 1'!I16</f>
        <v/>
      </c>
      <c r="N4" s="638">
        <v>0</v>
      </c>
      <c r="O4" s="182">
        <v>0</v>
      </c>
      <c r="P4" s="182">
        <v>0</v>
      </c>
      <c r="Q4" s="182">
        <v>0</v>
      </c>
      <c r="R4" s="182">
        <v>0</v>
      </c>
      <c r="S4" s="639">
        <v>0</v>
      </c>
      <c r="V4" s="196" t="s">
        <v>1244</v>
      </c>
      <c r="W4" s="197">
        <f>O46</f>
        <v>0</v>
      </c>
      <c r="X4" s="198" t="e">
        <f>U42</f>
        <v>#DIV/0!</v>
      </c>
      <c r="AA4" s="144" t="s">
        <v>1245</v>
      </c>
      <c r="AB4" s="145" t="s">
        <v>1246</v>
      </c>
      <c r="AC4" s="145" t="s">
        <v>1247</v>
      </c>
      <c r="AD4" s="145" t="s">
        <v>1248</v>
      </c>
      <c r="AE4" s="199" t="s">
        <v>1249</v>
      </c>
      <c r="AF4" s="144" t="s">
        <v>1245</v>
      </c>
      <c r="AG4" s="145" t="s">
        <v>1246</v>
      </c>
      <c r="AH4" s="145" t="s">
        <v>1247</v>
      </c>
      <c r="AI4" s="145" t="s">
        <v>1248</v>
      </c>
      <c r="AJ4" s="200" t="s">
        <v>1249</v>
      </c>
      <c r="AM4" s="201" t="s">
        <v>1250</v>
      </c>
      <c r="AN4" s="202" t="s">
        <v>1251</v>
      </c>
      <c r="AO4" s="203" t="s">
        <v>1252</v>
      </c>
      <c r="AP4" s="204" t="s">
        <v>1247</v>
      </c>
      <c r="AQ4" s="205" t="s">
        <v>1248</v>
      </c>
      <c r="AR4" s="206" t="s">
        <v>1250</v>
      </c>
      <c r="AS4" s="202" t="s">
        <v>1251</v>
      </c>
      <c r="AT4" s="203" t="s">
        <v>1252</v>
      </c>
      <c r="AU4" s="204" t="s">
        <v>1247</v>
      </c>
      <c r="AV4" s="207" t="s">
        <v>1248</v>
      </c>
      <c r="AX4" s="208" t="s">
        <v>1245</v>
      </c>
      <c r="AY4" s="209" t="s">
        <v>1253</v>
      </c>
      <c r="AZ4" s="210">
        <f>SUM(AA6:AA11)</f>
        <v>0</v>
      </c>
      <c r="BA4" s="211" t="e">
        <f>SUM(AF6:AF11)</f>
        <v>#DIV/0!</v>
      </c>
    </row>
    <row r="5" spans="1:53" ht="15" customHeight="1" thickBot="1" x14ac:dyDescent="0.3">
      <c r="D5" s="175"/>
      <c r="E5" s="469">
        <f>'Sheet 1'!B17</f>
        <v>0</v>
      </c>
      <c r="F5" s="195">
        <f>'Sheet 1'!E17</f>
        <v>0</v>
      </c>
      <c r="G5" s="213">
        <v>0</v>
      </c>
      <c r="H5" s="195">
        <f t="shared" ref="H5:H13" si="0">B9</f>
        <v>0</v>
      </c>
      <c r="I5" s="502" t="e">
        <f t="shared" ref="I5:I13" si="1">F5/SUM($F$4:$F$13)</f>
        <v>#DIV/0!</v>
      </c>
      <c r="J5" s="505" t="str">
        <f>'Sheet 1'!K17</f>
        <v/>
      </c>
      <c r="K5" s="214" t="str">
        <f>'Sheet 1'!N17</f>
        <v/>
      </c>
      <c r="L5" s="215" t="str">
        <f>'Sheet 1'!I17</f>
        <v/>
      </c>
      <c r="N5" s="194">
        <v>0</v>
      </c>
      <c r="O5" s="633">
        <v>0</v>
      </c>
      <c r="P5" s="633">
        <v>0</v>
      </c>
      <c r="Q5" s="633">
        <v>0</v>
      </c>
      <c r="R5" s="633">
        <v>0</v>
      </c>
      <c r="S5" s="640">
        <v>0</v>
      </c>
      <c r="V5" s="216" t="s">
        <v>1254</v>
      </c>
      <c r="W5" s="217">
        <f>P39-W17</f>
        <v>0</v>
      </c>
      <c r="X5" s="218" t="e">
        <f>IF(X15=1,U46-X17,U46)</f>
        <v>#DIV/0!</v>
      </c>
      <c r="AA5" s="219" t="s">
        <v>1253</v>
      </c>
      <c r="AB5" s="220" t="s">
        <v>1255</v>
      </c>
      <c r="AC5" s="220" t="s">
        <v>1256</v>
      </c>
      <c r="AD5" s="220" t="s">
        <v>1257</v>
      </c>
      <c r="AE5" s="220" t="s">
        <v>1258</v>
      </c>
      <c r="AF5" s="221" t="s">
        <v>1253</v>
      </c>
      <c r="AG5" s="222" t="s">
        <v>1255</v>
      </c>
      <c r="AH5" s="222" t="s">
        <v>1256</v>
      </c>
      <c r="AI5" s="222" t="s">
        <v>1257</v>
      </c>
      <c r="AJ5" s="223" t="s">
        <v>1258</v>
      </c>
      <c r="AM5" s="224" t="s">
        <v>1259</v>
      </c>
      <c r="AN5" s="224" t="s">
        <v>1259</v>
      </c>
      <c r="AO5" s="225" t="s">
        <v>1260</v>
      </c>
      <c r="AP5" s="226" t="s">
        <v>1261</v>
      </c>
      <c r="AQ5" s="227" t="s">
        <v>1261</v>
      </c>
      <c r="AR5" s="224" t="s">
        <v>1259</v>
      </c>
      <c r="AS5" s="224" t="s">
        <v>1259</v>
      </c>
      <c r="AT5" s="225" t="s">
        <v>1260</v>
      </c>
      <c r="AU5" s="226" t="s">
        <v>1261</v>
      </c>
      <c r="AV5" s="228" t="s">
        <v>1261</v>
      </c>
      <c r="AX5" s="208" t="s">
        <v>1246</v>
      </c>
      <c r="AY5" s="209" t="s">
        <v>1255</v>
      </c>
      <c r="AZ5" s="210">
        <f>SUM(AB6:AB11)</f>
        <v>0</v>
      </c>
      <c r="BA5" s="211" t="e">
        <f>SUM(AG6:AG11)</f>
        <v>#DIV/0!</v>
      </c>
    </row>
    <row r="6" spans="1:53" ht="15" customHeight="1" thickBot="1" x14ac:dyDescent="0.25">
      <c r="A6" s="968" t="s">
        <v>1262</v>
      </c>
      <c r="B6" s="969"/>
      <c r="C6" s="970"/>
      <c r="D6" s="229"/>
      <c r="E6" s="469">
        <f>'Sheet 1'!B18</f>
        <v>0</v>
      </c>
      <c r="F6" s="195">
        <f>'Sheet 1'!E18</f>
        <v>0</v>
      </c>
      <c r="G6" s="213">
        <v>0</v>
      </c>
      <c r="H6" s="195">
        <f t="shared" si="0"/>
        <v>0</v>
      </c>
      <c r="I6" s="502" t="e">
        <f t="shared" si="1"/>
        <v>#DIV/0!</v>
      </c>
      <c r="J6" s="505" t="str">
        <f>'Sheet 1'!K18</f>
        <v/>
      </c>
      <c r="K6" s="214" t="str">
        <f>'Sheet 1'!N18</f>
        <v/>
      </c>
      <c r="L6" s="215" t="str">
        <f>'Sheet 1'!I18</f>
        <v/>
      </c>
      <c r="N6" s="194">
        <v>0</v>
      </c>
      <c r="O6" s="633">
        <v>0</v>
      </c>
      <c r="P6" s="633">
        <v>0</v>
      </c>
      <c r="Q6" s="633">
        <v>0</v>
      </c>
      <c r="R6" s="633">
        <v>0</v>
      </c>
      <c r="S6" s="640">
        <v>0</v>
      </c>
      <c r="V6" s="216" t="s">
        <v>1263</v>
      </c>
      <c r="W6" s="217">
        <f>O44*17/14</f>
        <v>0</v>
      </c>
      <c r="X6" s="218">
        <v>0</v>
      </c>
      <c r="Z6" s="230" t="s">
        <v>1244</v>
      </c>
      <c r="AA6" s="231">
        <f>$W$4*AD18</f>
        <v>0</v>
      </c>
      <c r="AB6" s="232">
        <f>$W$4*AE18</f>
        <v>0</v>
      </c>
      <c r="AC6" s="232">
        <f>$W$4*AF18</f>
        <v>0</v>
      </c>
      <c r="AD6" s="233">
        <v>0</v>
      </c>
      <c r="AE6" s="233">
        <v>0</v>
      </c>
      <c r="AF6" s="231" t="e">
        <f t="shared" ref="AF6:AH8" si="2">$X4*AD18</f>
        <v>#DIV/0!</v>
      </c>
      <c r="AG6" s="232" t="e">
        <f t="shared" si="2"/>
        <v>#DIV/0!</v>
      </c>
      <c r="AH6" s="232" t="e">
        <f t="shared" si="2"/>
        <v>#DIV/0!</v>
      </c>
      <c r="AI6" s="233">
        <v>0</v>
      </c>
      <c r="AJ6" s="234">
        <v>0</v>
      </c>
      <c r="AL6" s="235" t="s">
        <v>1264</v>
      </c>
      <c r="AM6" s="236">
        <f>$W$4*$AQ$18</f>
        <v>0</v>
      </c>
      <c r="AN6" s="237">
        <f>$W$4*$AR$18</f>
        <v>0</v>
      </c>
      <c r="AO6" s="237">
        <f>$W$4*$AS$18</f>
        <v>0</v>
      </c>
      <c r="AP6" s="238">
        <f>$W$4*$AT$18</f>
        <v>0</v>
      </c>
      <c r="AQ6" s="207">
        <v>0</v>
      </c>
      <c r="AR6" s="239" t="e">
        <f>$X$4*$AQ$18</f>
        <v>#DIV/0!</v>
      </c>
      <c r="AS6" s="240" t="e">
        <f>$X$4*$AR$18</f>
        <v>#DIV/0!</v>
      </c>
      <c r="AT6" s="240" t="e">
        <f>$X$4*$AS$18</f>
        <v>#DIV/0!</v>
      </c>
      <c r="AU6" s="241" t="e">
        <f>$X$4*$AT$18</f>
        <v>#DIV/0!</v>
      </c>
      <c r="AV6" s="242">
        <v>0</v>
      </c>
      <c r="AX6" s="208" t="s">
        <v>1265</v>
      </c>
      <c r="AY6" s="209" t="s">
        <v>1257</v>
      </c>
      <c r="AZ6" s="187">
        <f>SUM(AD6:AD11)</f>
        <v>0</v>
      </c>
      <c r="BA6" s="188">
        <f>SUM(AI6:AI11)</f>
        <v>0</v>
      </c>
    </row>
    <row r="7" spans="1:53" ht="40.5" customHeight="1" thickBot="1" x14ac:dyDescent="0.25">
      <c r="A7" s="243" t="s">
        <v>1637</v>
      </c>
      <c r="B7" s="244" t="s">
        <v>1461</v>
      </c>
      <c r="C7" s="245" t="s">
        <v>1266</v>
      </c>
      <c r="E7" s="469">
        <f>'Sheet 1'!B19</f>
        <v>0</v>
      </c>
      <c r="F7" s="195">
        <f>'Sheet 1'!E19</f>
        <v>0</v>
      </c>
      <c r="G7" s="213">
        <v>0</v>
      </c>
      <c r="H7" s="195">
        <f t="shared" si="0"/>
        <v>0</v>
      </c>
      <c r="I7" s="502" t="e">
        <f t="shared" si="1"/>
        <v>#DIV/0!</v>
      </c>
      <c r="J7" s="505" t="str">
        <f>'Sheet 1'!K19</f>
        <v/>
      </c>
      <c r="K7" s="214" t="str">
        <f>'Sheet 1'!N19</f>
        <v/>
      </c>
      <c r="L7" s="215" t="str">
        <f>'Sheet 1'!I19</f>
        <v/>
      </c>
      <c r="M7" s="175"/>
      <c r="N7" s="194">
        <v>0</v>
      </c>
      <c r="O7" s="633">
        <v>0</v>
      </c>
      <c r="P7" s="633">
        <v>0</v>
      </c>
      <c r="Q7" s="633">
        <v>0</v>
      </c>
      <c r="R7" s="633">
        <v>0</v>
      </c>
      <c r="S7" s="640">
        <v>0</v>
      </c>
      <c r="V7" s="246" t="s">
        <v>1267</v>
      </c>
      <c r="W7" s="247">
        <f>O43</f>
        <v>0</v>
      </c>
      <c r="X7" s="248">
        <v>0</v>
      </c>
      <c r="Z7" s="249" t="s">
        <v>1268</v>
      </c>
      <c r="AA7" s="250">
        <f>$W$5*AD19</f>
        <v>0</v>
      </c>
      <c r="AB7" s="251">
        <f>$W$5*AE19</f>
        <v>0</v>
      </c>
      <c r="AC7" s="251">
        <f>$W$5*AF18</f>
        <v>0</v>
      </c>
      <c r="AD7" s="175">
        <v>0</v>
      </c>
      <c r="AE7" s="175">
        <v>0</v>
      </c>
      <c r="AF7" s="250" t="e">
        <f t="shared" si="2"/>
        <v>#DIV/0!</v>
      </c>
      <c r="AG7" s="251" t="e">
        <f t="shared" si="2"/>
        <v>#DIV/0!</v>
      </c>
      <c r="AH7" s="251" t="e">
        <f t="shared" si="2"/>
        <v>#DIV/0!</v>
      </c>
      <c r="AI7" s="175">
        <v>0</v>
      </c>
      <c r="AJ7" s="252">
        <v>0</v>
      </c>
      <c r="AL7" s="253" t="s">
        <v>1269</v>
      </c>
      <c r="AM7" s="254">
        <f>$W$5*0</f>
        <v>0</v>
      </c>
      <c r="AN7" s="240">
        <f>$W$5*0</f>
        <v>0</v>
      </c>
      <c r="AO7" s="240">
        <f>$W$5*0</f>
        <v>0</v>
      </c>
      <c r="AP7" s="241">
        <f>$W$5*0</f>
        <v>0</v>
      </c>
      <c r="AQ7" s="255">
        <v>0</v>
      </c>
      <c r="AR7" s="239" t="e">
        <f>$X$5*0</f>
        <v>#DIV/0!</v>
      </c>
      <c r="AS7" s="240" t="e">
        <f>$X$5*0</f>
        <v>#DIV/0!</v>
      </c>
      <c r="AT7" s="240" t="e">
        <f>$X$5*0</f>
        <v>#DIV/0!</v>
      </c>
      <c r="AU7" s="241" t="e">
        <f>$X$5*0</f>
        <v>#DIV/0!</v>
      </c>
      <c r="AV7" s="256">
        <v>0</v>
      </c>
      <c r="AX7" s="208" t="s">
        <v>1270</v>
      </c>
      <c r="AY7" s="209" t="s">
        <v>1271</v>
      </c>
      <c r="AZ7" s="187">
        <v>0</v>
      </c>
      <c r="BA7" s="188">
        <v>0</v>
      </c>
    </row>
    <row r="8" spans="1:53" ht="15" customHeight="1" thickBot="1" x14ac:dyDescent="0.25">
      <c r="A8" s="257">
        <f>'Sheet 1'!B16</f>
        <v>0</v>
      </c>
      <c r="B8" s="195">
        <f>'Sheet 1'!C16</f>
        <v>0</v>
      </c>
      <c r="C8" s="258">
        <v>0</v>
      </c>
      <c r="E8" s="469">
        <f>'Sheet 1'!B20</f>
        <v>0</v>
      </c>
      <c r="F8" s="195">
        <f>'Sheet 1'!E20</f>
        <v>0</v>
      </c>
      <c r="G8" s="213">
        <v>0</v>
      </c>
      <c r="H8" s="195">
        <f t="shared" si="0"/>
        <v>0</v>
      </c>
      <c r="I8" s="502" t="e">
        <f t="shared" si="1"/>
        <v>#DIV/0!</v>
      </c>
      <c r="J8" s="505" t="str">
        <f>'Sheet 1'!K20</f>
        <v/>
      </c>
      <c r="K8" s="214" t="str">
        <f>'Sheet 1'!N20</f>
        <v/>
      </c>
      <c r="L8" s="215" t="str">
        <f>'Sheet 1'!I20</f>
        <v/>
      </c>
      <c r="N8" s="259">
        <v>0</v>
      </c>
      <c r="O8" s="641">
        <v>0</v>
      </c>
      <c r="P8" s="641">
        <v>0</v>
      </c>
      <c r="Q8" s="641">
        <v>0</v>
      </c>
      <c r="R8" s="641">
        <v>0</v>
      </c>
      <c r="S8" s="642">
        <v>0</v>
      </c>
      <c r="V8" s="196" t="s">
        <v>1272</v>
      </c>
      <c r="W8" s="218">
        <f>Q39</f>
        <v>0</v>
      </c>
      <c r="X8" s="218" t="e">
        <f>V42</f>
        <v>#DIV/0!</v>
      </c>
      <c r="Z8" s="261" t="s">
        <v>1263</v>
      </c>
      <c r="AA8" s="250">
        <f>$W$6*AD20</f>
        <v>0</v>
      </c>
      <c r="AB8" s="251">
        <f>$W$6*AE20</f>
        <v>0</v>
      </c>
      <c r="AC8" s="251">
        <f>$W$6*AF20</f>
        <v>0</v>
      </c>
      <c r="AD8" s="175">
        <v>0</v>
      </c>
      <c r="AE8" s="175">
        <v>0</v>
      </c>
      <c r="AF8" s="250">
        <f t="shared" si="2"/>
        <v>0</v>
      </c>
      <c r="AG8" s="251">
        <f t="shared" si="2"/>
        <v>0</v>
      </c>
      <c r="AH8" s="251">
        <f t="shared" si="2"/>
        <v>0</v>
      </c>
      <c r="AI8" s="175">
        <v>0</v>
      </c>
      <c r="AJ8" s="252">
        <v>0</v>
      </c>
      <c r="AL8" s="253" t="s">
        <v>1273</v>
      </c>
      <c r="AM8" s="254">
        <f>$W$6*$AQ$20</f>
        <v>0</v>
      </c>
      <c r="AN8" s="240">
        <f>$W$6*$AR$20</f>
        <v>0</v>
      </c>
      <c r="AO8" s="240">
        <f>$W$6*$AS$20</f>
        <v>0</v>
      </c>
      <c r="AP8" s="241">
        <f>$W$6*$AT$20</f>
        <v>0</v>
      </c>
      <c r="AQ8" s="228">
        <v>0</v>
      </c>
      <c r="AR8" s="239">
        <f>$X$6*$AQ$20</f>
        <v>0</v>
      </c>
      <c r="AS8" s="240">
        <f>$X$6*$AR$20</f>
        <v>0</v>
      </c>
      <c r="AT8" s="240">
        <f>$X$6*$AS$20</f>
        <v>0</v>
      </c>
      <c r="AU8" s="241">
        <f>$X$6*$AT$20</f>
        <v>0</v>
      </c>
      <c r="AV8" s="262">
        <v>0</v>
      </c>
      <c r="AX8" s="208" t="s">
        <v>1247</v>
      </c>
      <c r="AY8" s="209" t="s">
        <v>1256</v>
      </c>
      <c r="AZ8" s="187">
        <f>SUM(AC6:AC11)</f>
        <v>0</v>
      </c>
      <c r="BA8" s="211" t="e">
        <f>SUM(AH6:AH11)</f>
        <v>#DIV/0!</v>
      </c>
    </row>
    <row r="9" spans="1:53" ht="15" customHeight="1" x14ac:dyDescent="0.2">
      <c r="A9" s="257">
        <f>'Sheet 1'!B17</f>
        <v>0</v>
      </c>
      <c r="B9" s="195">
        <f>'Sheet 1'!C17</f>
        <v>0</v>
      </c>
      <c r="C9" s="258">
        <v>0</v>
      </c>
      <c r="E9" s="469">
        <f>'Sheet 1'!B21</f>
        <v>0</v>
      </c>
      <c r="F9" s="195">
        <f>'Sheet 1'!E21</f>
        <v>0</v>
      </c>
      <c r="G9" s="213">
        <v>0</v>
      </c>
      <c r="H9" s="195">
        <f t="shared" si="0"/>
        <v>0</v>
      </c>
      <c r="I9" s="502" t="e">
        <f t="shared" si="1"/>
        <v>#DIV/0!</v>
      </c>
      <c r="J9" s="505" t="str">
        <f>'Sheet 1'!K21</f>
        <v/>
      </c>
      <c r="K9" s="214" t="str">
        <f>'Sheet 1'!N21</f>
        <v/>
      </c>
      <c r="L9" s="215" t="str">
        <f>'Sheet 1'!I21</f>
        <v/>
      </c>
      <c r="N9" s="263"/>
      <c r="O9" s="264"/>
      <c r="Q9" s="175"/>
      <c r="R9" s="175"/>
      <c r="S9" s="265"/>
      <c r="V9" s="216" t="s">
        <v>1274</v>
      </c>
      <c r="W9" s="218">
        <f>R39-W18</f>
        <v>0</v>
      </c>
      <c r="X9" s="218" t="e">
        <f>IF(X15=1,V46-X18,V46)</f>
        <v>#DIV/0!</v>
      </c>
      <c r="Z9" s="249" t="s">
        <v>1275</v>
      </c>
      <c r="AA9" s="250">
        <f>W8*AD21</f>
        <v>0</v>
      </c>
      <c r="AB9" s="251">
        <f>W8*AE21</f>
        <v>0</v>
      </c>
      <c r="AC9" s="251">
        <f>W8*AF21</f>
        <v>0</v>
      </c>
      <c r="AD9" s="175">
        <v>0</v>
      </c>
      <c r="AE9" s="175">
        <v>0</v>
      </c>
      <c r="AF9" s="250" t="e">
        <f>$X8*AD21</f>
        <v>#DIV/0!</v>
      </c>
      <c r="AG9" s="251" t="e">
        <f>$X8*AE21</f>
        <v>#DIV/0!</v>
      </c>
      <c r="AH9" s="251" t="e">
        <f>$X8*AF21</f>
        <v>#DIV/0!</v>
      </c>
      <c r="AI9" s="175">
        <v>0</v>
      </c>
      <c r="AJ9" s="252">
        <v>0</v>
      </c>
      <c r="AL9" s="235" t="s">
        <v>1276</v>
      </c>
      <c r="AM9" s="236">
        <f>$W$8*$AQ$21</f>
        <v>0</v>
      </c>
      <c r="AN9" s="237">
        <f>$W$8*$AR$21</f>
        <v>0</v>
      </c>
      <c r="AO9" s="237">
        <f>$W$8*$AS$21</f>
        <v>0</v>
      </c>
      <c r="AP9" s="266">
        <f>$W$8*$AT$21</f>
        <v>0</v>
      </c>
      <c r="AQ9" s="207">
        <v>0</v>
      </c>
      <c r="AR9" s="267" t="e">
        <f>$X$8*$AQ$21</f>
        <v>#DIV/0!</v>
      </c>
      <c r="AS9" s="237" t="e">
        <f>$X$8*$AR$21</f>
        <v>#DIV/0!</v>
      </c>
      <c r="AT9" s="237" t="e">
        <f>$X$8*$AS$21</f>
        <v>#DIV/0!</v>
      </c>
      <c r="AU9" s="266" t="e">
        <f>$X$8*$AT$21</f>
        <v>#DIV/0!</v>
      </c>
      <c r="AV9" s="242">
        <v>0</v>
      </c>
      <c r="AX9" s="208" t="s">
        <v>1277</v>
      </c>
      <c r="AY9" s="209" t="s">
        <v>1256</v>
      </c>
      <c r="AZ9" s="187">
        <v>0</v>
      </c>
      <c r="BA9" s="188">
        <v>0</v>
      </c>
    </row>
    <row r="10" spans="1:53" ht="15" customHeight="1" thickBot="1" x14ac:dyDescent="0.25">
      <c r="A10" s="257">
        <f>'Sheet 1'!B18</f>
        <v>0</v>
      </c>
      <c r="B10" s="195">
        <f>'Sheet 1'!C18</f>
        <v>0</v>
      </c>
      <c r="C10" s="258">
        <v>0</v>
      </c>
      <c r="E10" s="469">
        <f>'Sheet 1'!B22</f>
        <v>0</v>
      </c>
      <c r="F10" s="195">
        <f>'Sheet 1'!E22</f>
        <v>0</v>
      </c>
      <c r="G10" s="213">
        <v>0</v>
      </c>
      <c r="H10" s="195">
        <f t="shared" si="0"/>
        <v>0</v>
      </c>
      <c r="I10" s="502" t="e">
        <f t="shared" si="1"/>
        <v>#DIV/0!</v>
      </c>
      <c r="J10" s="505" t="str">
        <f>'Sheet 1'!K22</f>
        <v/>
      </c>
      <c r="K10" s="214" t="str">
        <f>'Sheet 1'!N22</f>
        <v/>
      </c>
      <c r="L10" s="215" t="str">
        <f>'Sheet 1'!I22</f>
        <v/>
      </c>
      <c r="N10" s="268"/>
      <c r="O10" s="269"/>
      <c r="P10" s="269" t="s">
        <v>1278</v>
      </c>
      <c r="Q10" s="270"/>
      <c r="R10" s="271">
        <f>SUM(R4:R8)</f>
        <v>0</v>
      </c>
      <c r="S10" s="272">
        <f>SUM(S4:S8)</f>
        <v>0</v>
      </c>
      <c r="V10" s="273" t="s">
        <v>1279</v>
      </c>
      <c r="W10" s="274">
        <v>0</v>
      </c>
      <c r="X10" s="275">
        <v>0</v>
      </c>
      <c r="Z10" s="249" t="s">
        <v>1280</v>
      </c>
      <c r="AA10" s="250">
        <f>W9*Z26</f>
        <v>0</v>
      </c>
      <c r="AB10" s="251">
        <f>W9*AE21</f>
        <v>0</v>
      </c>
      <c r="AC10" s="251">
        <f>W9*AC23</f>
        <v>0</v>
      </c>
      <c r="AD10" s="175">
        <v>0</v>
      </c>
      <c r="AE10" s="175">
        <v>0</v>
      </c>
      <c r="AF10" s="250" t="e">
        <f>$X9*Z26</f>
        <v>#DIV/0!</v>
      </c>
      <c r="AG10" s="251" t="e">
        <f>$X9*AA26</f>
        <v>#DIV/0!</v>
      </c>
      <c r="AH10" s="251" t="e">
        <f>$X9*AA26</f>
        <v>#DIV/0!</v>
      </c>
      <c r="AI10" s="175">
        <v>0</v>
      </c>
      <c r="AJ10" s="252">
        <v>0</v>
      </c>
      <c r="AL10" s="253" t="s">
        <v>1281</v>
      </c>
      <c r="AM10" s="254">
        <f>$W$9*$AK$38</f>
        <v>0</v>
      </c>
      <c r="AN10" s="240">
        <f>$W$9*$AL$38</f>
        <v>0</v>
      </c>
      <c r="AO10" s="240">
        <f>$W$9*$AM$38</f>
        <v>0</v>
      </c>
      <c r="AP10" s="276">
        <f>$W$9*$AN$38</f>
        <v>0</v>
      </c>
      <c r="AQ10" s="255">
        <v>0</v>
      </c>
      <c r="AR10" s="239" t="e">
        <f>$X$9*$AK$38</f>
        <v>#DIV/0!</v>
      </c>
      <c r="AS10" s="240" t="e">
        <f>$X$9*$AL$38</f>
        <v>#DIV/0!</v>
      </c>
      <c r="AT10" s="240" t="e">
        <f>$X$9*$AM$38</f>
        <v>#DIV/0!</v>
      </c>
      <c r="AU10" s="276" t="e">
        <f>$X$9*$AN$38</f>
        <v>#DIV/0!</v>
      </c>
      <c r="AV10" s="256">
        <v>0</v>
      </c>
      <c r="AX10" s="208" t="s">
        <v>1282</v>
      </c>
      <c r="AY10" s="209" t="s">
        <v>1256</v>
      </c>
      <c r="AZ10" s="187">
        <v>0</v>
      </c>
      <c r="BA10" s="188">
        <v>0</v>
      </c>
    </row>
    <row r="11" spans="1:53" ht="15" customHeight="1" thickBot="1" x14ac:dyDescent="0.25">
      <c r="A11" s="257">
        <f>'Sheet 1'!B19</f>
        <v>0</v>
      </c>
      <c r="B11" s="195">
        <f>'Sheet 1'!C19</f>
        <v>0</v>
      </c>
      <c r="C11" s="258">
        <v>0</v>
      </c>
      <c r="E11" s="469">
        <f>'Sheet 1'!B23</f>
        <v>0</v>
      </c>
      <c r="F11" s="195">
        <f>'Sheet 1'!E23</f>
        <v>0</v>
      </c>
      <c r="G11" s="213">
        <v>0</v>
      </c>
      <c r="H11" s="195">
        <f t="shared" si="0"/>
        <v>0</v>
      </c>
      <c r="I11" s="502" t="e">
        <f t="shared" si="1"/>
        <v>#DIV/0!</v>
      </c>
      <c r="J11" s="505" t="str">
        <f>'Sheet 1'!K23</f>
        <v/>
      </c>
      <c r="K11" s="214" t="str">
        <f>'Sheet 1'!N23</f>
        <v/>
      </c>
      <c r="L11" s="215" t="str">
        <f>'Sheet 1'!I23</f>
        <v/>
      </c>
      <c r="N11" s="264"/>
      <c r="O11" s="264"/>
      <c r="V11" s="277" t="s">
        <v>1283</v>
      </c>
      <c r="W11" s="247">
        <v>0</v>
      </c>
      <c r="X11" s="248" t="e">
        <f>L104</f>
        <v>#DIV/0!</v>
      </c>
      <c r="Z11" s="278" t="s">
        <v>1284</v>
      </c>
      <c r="AA11" s="279">
        <f>$W$10*AD22</f>
        <v>0</v>
      </c>
      <c r="AB11" s="280">
        <f>$W$10*AE22</f>
        <v>0</v>
      </c>
      <c r="AC11" s="280">
        <f>$W$10*AF22</f>
        <v>0</v>
      </c>
      <c r="AD11" s="280">
        <f>AG22*$W$10</f>
        <v>0</v>
      </c>
      <c r="AE11" s="280">
        <f>AH22*$W$10</f>
        <v>0</v>
      </c>
      <c r="AF11" s="279">
        <f>$X$10*AD22</f>
        <v>0</v>
      </c>
      <c r="AG11" s="280">
        <f>$X$10*AE22</f>
        <v>0</v>
      </c>
      <c r="AH11" s="280">
        <f>$X$10*AF22</f>
        <v>0</v>
      </c>
      <c r="AI11" s="280">
        <f>$X$10*AG22</f>
        <v>0</v>
      </c>
      <c r="AJ11" s="281">
        <f>$X$10*AH22</f>
        <v>0</v>
      </c>
      <c r="AL11" s="282" t="s">
        <v>1284</v>
      </c>
      <c r="AM11" s="278">
        <f>$W$10*AQ22</f>
        <v>0</v>
      </c>
      <c r="AN11" s="278">
        <f>$W$10*AR22</f>
        <v>0</v>
      </c>
      <c r="AO11" s="278">
        <f>$W$10*AS22</f>
        <v>0</v>
      </c>
      <c r="AP11" s="278">
        <f>$W$10*AT22</f>
        <v>0</v>
      </c>
      <c r="AQ11" s="283">
        <f>$W$10*AU22</f>
        <v>0</v>
      </c>
      <c r="AR11" s="278">
        <f>$X$10*AQ22</f>
        <v>0</v>
      </c>
      <c r="AS11" s="278">
        <f>$X$10*AR22</f>
        <v>0</v>
      </c>
      <c r="AT11" s="278">
        <f>$X$10*AS22</f>
        <v>0</v>
      </c>
      <c r="AU11" s="278">
        <f>$X$10*AT22</f>
        <v>0</v>
      </c>
      <c r="AV11" s="284">
        <f>$X$10*AU22</f>
        <v>0</v>
      </c>
      <c r="AX11" s="208" t="s">
        <v>1285</v>
      </c>
      <c r="AY11" s="209" t="s">
        <v>1256</v>
      </c>
      <c r="AZ11" s="187">
        <v>0</v>
      </c>
      <c r="BA11" s="188">
        <v>0</v>
      </c>
    </row>
    <row r="12" spans="1:53" ht="15" customHeight="1" thickBot="1" x14ac:dyDescent="0.25">
      <c r="A12" s="257">
        <f>'Sheet 1'!B20</f>
        <v>0</v>
      </c>
      <c r="B12" s="195">
        <f>'Sheet 1'!C20</f>
        <v>0</v>
      </c>
      <c r="C12" s="258">
        <v>0</v>
      </c>
      <c r="E12" s="469">
        <f>'Sheet 1'!B24</f>
        <v>0</v>
      </c>
      <c r="F12" s="195">
        <f>'Sheet 1'!E24</f>
        <v>0</v>
      </c>
      <c r="G12" s="213">
        <v>0</v>
      </c>
      <c r="H12" s="195">
        <f t="shared" si="0"/>
        <v>0</v>
      </c>
      <c r="I12" s="502" t="e">
        <f t="shared" si="1"/>
        <v>#DIV/0!</v>
      </c>
      <c r="J12" s="505" t="str">
        <f>'Sheet 1'!K24</f>
        <v/>
      </c>
      <c r="K12" s="214" t="str">
        <f>'Sheet 1'!N24</f>
        <v/>
      </c>
      <c r="L12" s="215" t="str">
        <f>'Sheet 1'!I24</f>
        <v/>
      </c>
      <c r="N12" s="971" t="s">
        <v>1286</v>
      </c>
      <c r="O12" s="972"/>
      <c r="P12" s="973"/>
      <c r="Q12" s="175"/>
      <c r="R12" s="175"/>
      <c r="AR12" s="165"/>
      <c r="AX12" s="208" t="s">
        <v>1249</v>
      </c>
      <c r="AY12" s="209" t="s">
        <v>1287</v>
      </c>
      <c r="AZ12" s="187">
        <f>SUM(AE6:AE11)</f>
        <v>0</v>
      </c>
      <c r="BA12" s="188">
        <f>SUM(AJ6:AJ11)</f>
        <v>0</v>
      </c>
    </row>
    <row r="13" spans="1:53" ht="15" customHeight="1" thickBot="1" x14ac:dyDescent="0.25">
      <c r="A13" s="257">
        <f>'Sheet 1'!B21</f>
        <v>0</v>
      </c>
      <c r="B13" s="195">
        <f>'Sheet 1'!C21</f>
        <v>0</v>
      </c>
      <c r="C13" s="258">
        <v>0</v>
      </c>
      <c r="E13" s="356">
        <f>'Sheet 1'!B25</f>
        <v>0</v>
      </c>
      <c r="F13" s="260">
        <f>'Sheet 1'!E25</f>
        <v>0</v>
      </c>
      <c r="G13" s="286">
        <v>0</v>
      </c>
      <c r="H13" s="260">
        <f t="shared" si="0"/>
        <v>0</v>
      </c>
      <c r="I13" s="503" t="e">
        <f t="shared" si="1"/>
        <v>#DIV/0!</v>
      </c>
      <c r="J13" s="506" t="str">
        <f>'Sheet 1'!K25</f>
        <v/>
      </c>
      <c r="K13" s="287" t="str">
        <f>'Sheet 1'!N25</f>
        <v/>
      </c>
      <c r="L13" s="288" t="str">
        <f>'Sheet 1'!I25</f>
        <v/>
      </c>
      <c r="N13" s="172"/>
      <c r="O13" s="289" t="s">
        <v>1288</v>
      </c>
      <c r="P13" s="290" t="s">
        <v>1289</v>
      </c>
      <c r="AR13" s="165"/>
      <c r="AV13" s="167"/>
      <c r="AX13" s="208" t="s">
        <v>1290</v>
      </c>
      <c r="AY13" s="209" t="s">
        <v>1291</v>
      </c>
      <c r="AZ13" s="187">
        <v>0</v>
      </c>
      <c r="BA13" s="188">
        <v>0</v>
      </c>
    </row>
    <row r="14" spans="1:53" ht="15" customHeight="1" thickBot="1" x14ac:dyDescent="0.25">
      <c r="A14" s="257">
        <f>'Sheet 1'!B22</f>
        <v>0</v>
      </c>
      <c r="B14" s="195">
        <f>'Sheet 1'!C22</f>
        <v>0</v>
      </c>
      <c r="C14" s="258">
        <v>0</v>
      </c>
      <c r="I14" s="291" t="s">
        <v>1292</v>
      </c>
      <c r="J14" s="292" t="e">
        <f>SUMPRODUCT($I$4:$I$13,J4:J13)</f>
        <v>#DIV/0!</v>
      </c>
      <c r="K14" s="293" t="e">
        <f>SUMPRODUCT($I$4:$I$13,K4:K13)</f>
        <v>#DIV/0!</v>
      </c>
      <c r="L14" s="293" t="e">
        <f>SUMPRODUCT($I$4:$I$13,L4:L13)</f>
        <v>#DIV/0!</v>
      </c>
      <c r="N14" s="294" t="s">
        <v>1293</v>
      </c>
      <c r="O14" s="189">
        <v>0</v>
      </c>
      <c r="P14" s="295">
        <v>0</v>
      </c>
      <c r="V14" s="296" t="s">
        <v>1294</v>
      </c>
      <c r="W14" s="181" t="s">
        <v>1237</v>
      </c>
      <c r="X14" s="184" t="s">
        <v>1238</v>
      </c>
      <c r="AR14" s="165"/>
      <c r="AV14" s="167"/>
      <c r="AX14" s="208" t="s">
        <v>255</v>
      </c>
      <c r="AY14" s="209" t="s">
        <v>1295</v>
      </c>
      <c r="AZ14" s="187">
        <v>0</v>
      </c>
      <c r="BA14" s="188">
        <v>0</v>
      </c>
    </row>
    <row r="15" spans="1:53" ht="15" customHeight="1" thickBot="1" x14ac:dyDescent="0.3">
      <c r="A15" s="257">
        <f>'Sheet 1'!B23</f>
        <v>0</v>
      </c>
      <c r="B15" s="195">
        <f>'Sheet 1'!C23</f>
        <v>0</v>
      </c>
      <c r="C15" s="258">
        <v>0</v>
      </c>
      <c r="N15" s="297" t="s">
        <v>1296</v>
      </c>
      <c r="O15" s="285">
        <v>0</v>
      </c>
      <c r="P15" s="298">
        <v>0</v>
      </c>
      <c r="V15" s="299" t="s">
        <v>1297</v>
      </c>
      <c r="W15" s="300">
        <v>0</v>
      </c>
      <c r="X15" s="295">
        <v>0</v>
      </c>
      <c r="AD15" s="959" t="s">
        <v>1298</v>
      </c>
      <c r="AE15" s="960"/>
      <c r="AF15" s="960"/>
      <c r="AG15" s="960"/>
      <c r="AH15" s="961"/>
      <c r="AQ15" s="301" t="s">
        <v>1299</v>
      </c>
      <c r="AR15" s="302"/>
      <c r="AS15" s="302"/>
      <c r="AT15" s="302"/>
      <c r="AU15" s="303"/>
      <c r="AV15" s="167"/>
      <c r="AX15" s="208" t="s">
        <v>248</v>
      </c>
      <c r="AY15" s="209" t="s">
        <v>1300</v>
      </c>
      <c r="AZ15" s="187">
        <v>0</v>
      </c>
      <c r="BA15" s="188">
        <v>0</v>
      </c>
    </row>
    <row r="16" spans="1:53" ht="15" customHeight="1" thickBot="1" x14ac:dyDescent="0.3">
      <c r="A16" s="257">
        <f>'Sheet 1'!B24</f>
        <v>0</v>
      </c>
      <c r="B16" s="195">
        <f>'Sheet 1'!C24</f>
        <v>0</v>
      </c>
      <c r="C16" s="258">
        <v>0</v>
      </c>
      <c r="F16" s="304" t="s">
        <v>1301</v>
      </c>
      <c r="G16" s="168"/>
      <c r="K16" s="305" t="s">
        <v>1302</v>
      </c>
      <c r="L16" s="306" t="s">
        <v>1303</v>
      </c>
      <c r="N16" s="263"/>
      <c r="O16" s="175"/>
      <c r="P16" s="252"/>
      <c r="V16" s="307" t="s">
        <v>1304</v>
      </c>
      <c r="W16" s="308">
        <v>0</v>
      </c>
      <c r="X16" s="309"/>
      <c r="AD16" s="310" t="s">
        <v>1245</v>
      </c>
      <c r="AE16" s="199" t="s">
        <v>1246</v>
      </c>
      <c r="AF16" s="199" t="s">
        <v>1247</v>
      </c>
      <c r="AG16" s="199" t="s">
        <v>1248</v>
      </c>
      <c r="AH16" s="200" t="s">
        <v>1249</v>
      </c>
      <c r="AQ16" s="311" t="s">
        <v>1250</v>
      </c>
      <c r="AR16" s="312" t="s">
        <v>1251</v>
      </c>
      <c r="AS16" s="313" t="s">
        <v>1252</v>
      </c>
      <c r="AT16" s="313" t="s">
        <v>1305</v>
      </c>
      <c r="AU16" s="314" t="s">
        <v>1248</v>
      </c>
      <c r="AV16" s="167"/>
      <c r="AX16" s="208" t="s">
        <v>1306</v>
      </c>
      <c r="AY16" s="209" t="s">
        <v>1307</v>
      </c>
      <c r="AZ16" s="187">
        <v>0</v>
      </c>
      <c r="BA16" s="188">
        <v>0</v>
      </c>
    </row>
    <row r="17" spans="1:53" ht="15" customHeight="1" thickBot="1" x14ac:dyDescent="0.3">
      <c r="A17" s="257">
        <f>'Sheet 1'!B25</f>
        <v>0</v>
      </c>
      <c r="B17" s="195">
        <f>'Sheet 1'!C25</f>
        <v>0</v>
      </c>
      <c r="C17" s="258">
        <v>0</v>
      </c>
      <c r="F17" s="315" t="s">
        <v>1308</v>
      </c>
      <c r="G17" s="316">
        <f>'Sheet 1'!C4</f>
        <v>0</v>
      </c>
      <c r="J17" s="317" t="s">
        <v>1309</v>
      </c>
      <c r="K17" s="318">
        <f>SUMPRODUCT(F4:F13,J4:J13)/6.25</f>
        <v>0</v>
      </c>
      <c r="L17" s="318">
        <f>SUMPRODUCT(F4:F13,K4:K13)</f>
        <v>0</v>
      </c>
      <c r="N17" s="319" t="s">
        <v>390</v>
      </c>
      <c r="O17" s="320">
        <f>O14-O15</f>
        <v>0</v>
      </c>
      <c r="P17" s="321">
        <f>P14-P15</f>
        <v>0</v>
      </c>
      <c r="V17" s="307" t="s">
        <v>1310</v>
      </c>
      <c r="W17" s="322">
        <f>IF(W15=1,P39*W16,0)</f>
        <v>0</v>
      </c>
      <c r="X17" s="211">
        <v>0</v>
      </c>
      <c r="AA17" s="965" t="s">
        <v>1311</v>
      </c>
      <c r="AB17" s="966"/>
      <c r="AC17" s="966"/>
      <c r="AD17" s="219" t="s">
        <v>1253</v>
      </c>
      <c r="AE17" s="220" t="s">
        <v>1255</v>
      </c>
      <c r="AF17" s="220" t="s">
        <v>1256</v>
      </c>
      <c r="AG17" s="220" t="s">
        <v>1258</v>
      </c>
      <c r="AH17" s="323" t="s">
        <v>1258</v>
      </c>
      <c r="AQ17" s="253" t="s">
        <v>1312</v>
      </c>
      <c r="AR17" s="175" t="s">
        <v>1312</v>
      </c>
      <c r="AS17" s="175" t="s">
        <v>1313</v>
      </c>
      <c r="AT17" s="175" t="s">
        <v>1314</v>
      </c>
      <c r="AU17" s="252" t="s">
        <v>1313</v>
      </c>
      <c r="AV17" s="167"/>
      <c r="AX17" s="208" t="s">
        <v>1315</v>
      </c>
      <c r="AY17" s="209" t="s">
        <v>1261</v>
      </c>
      <c r="AZ17" s="210">
        <f>AS27</f>
        <v>0</v>
      </c>
      <c r="BA17" s="324" t="e">
        <f>AT27</f>
        <v>#DIV/0!</v>
      </c>
    </row>
    <row r="18" spans="1:53" ht="15" customHeight="1" thickBot="1" x14ac:dyDescent="0.25">
      <c r="A18" s="257"/>
      <c r="F18" s="307" t="s">
        <v>1316</v>
      </c>
      <c r="G18" s="325">
        <f>'Input data'!C8</f>
        <v>0</v>
      </c>
      <c r="J18" s="317" t="s">
        <v>1317</v>
      </c>
      <c r="K18" s="195">
        <f>SUMPRODUCT(G4:G13,J4:J13)/6.25</f>
        <v>0</v>
      </c>
      <c r="L18" s="195">
        <f>SUMPRODUCT(G4:G13,K4:K13)</f>
        <v>0</v>
      </c>
      <c r="V18" s="307" t="s">
        <v>1318</v>
      </c>
      <c r="W18" s="322">
        <f>IF(W15=1,R39*W16,0)</f>
        <v>0</v>
      </c>
      <c r="X18" s="211">
        <v>0</v>
      </c>
      <c r="AA18" s="974" t="s">
        <v>1319</v>
      </c>
      <c r="AB18" s="975"/>
      <c r="AC18" s="326" t="s">
        <v>21</v>
      </c>
      <c r="AD18" s="327">
        <v>0</v>
      </c>
      <c r="AE18" s="327">
        <v>0.42</v>
      </c>
      <c r="AF18" s="327">
        <v>0</v>
      </c>
      <c r="AG18" s="327">
        <v>0</v>
      </c>
      <c r="AH18" s="326">
        <v>0</v>
      </c>
      <c r="AN18" s="328" t="s">
        <v>1320</v>
      </c>
      <c r="AO18" s="329"/>
      <c r="AP18" s="326" t="s">
        <v>21</v>
      </c>
      <c r="AQ18" s="330">
        <v>4.4400000000000001E-8</v>
      </c>
      <c r="AR18" s="331"/>
      <c r="AS18" s="331"/>
      <c r="AT18" s="331"/>
      <c r="AU18" s="332"/>
      <c r="AV18" s="167"/>
      <c r="AX18" s="208" t="s">
        <v>1321</v>
      </c>
      <c r="AY18" s="209" t="s">
        <v>1322</v>
      </c>
      <c r="AZ18" s="210">
        <f>AS28</f>
        <v>0</v>
      </c>
      <c r="BA18" s="324" t="e">
        <f>AT28</f>
        <v>#DIV/0!</v>
      </c>
    </row>
    <row r="19" spans="1:53" ht="15" customHeight="1" thickBot="1" x14ac:dyDescent="0.25">
      <c r="A19" s="333" t="s">
        <v>1323</v>
      </c>
      <c r="B19" s="334">
        <f>SUM(B8:B17)</f>
        <v>0</v>
      </c>
      <c r="F19" s="307" t="s">
        <v>1324</v>
      </c>
      <c r="G19" s="325">
        <f>G17-B19</f>
        <v>0</v>
      </c>
      <c r="J19" s="317" t="s">
        <v>1325</v>
      </c>
      <c r="K19" s="195">
        <f>SUMPRODUCT(H4:H13,J4:J13)/6.25</f>
        <v>0</v>
      </c>
      <c r="L19" s="195">
        <f>SUMPRODUCT(H4:H13,K4:K13)</f>
        <v>0</v>
      </c>
      <c r="V19" s="335" t="s">
        <v>1326</v>
      </c>
      <c r="W19" s="336">
        <f>SUM(W17:W18)</f>
        <v>0</v>
      </c>
      <c r="X19" s="337">
        <f>SUM(X17:X18)</f>
        <v>0</v>
      </c>
      <c r="AA19" s="951" t="s">
        <v>1327</v>
      </c>
      <c r="AB19" s="952"/>
      <c r="AC19" s="338" t="s">
        <v>21</v>
      </c>
      <c r="AD19" s="339">
        <v>0</v>
      </c>
      <c r="AE19" s="339">
        <v>0.42</v>
      </c>
      <c r="AF19" s="339">
        <v>0</v>
      </c>
      <c r="AG19" s="339">
        <v>0</v>
      </c>
      <c r="AH19" s="338">
        <v>0</v>
      </c>
      <c r="AN19" s="340" t="s">
        <v>1327</v>
      </c>
      <c r="AO19" s="341"/>
      <c r="AP19" s="338" t="s">
        <v>21</v>
      </c>
      <c r="AQ19" s="342">
        <v>4.4400000000000001E-8</v>
      </c>
      <c r="AR19" s="343"/>
      <c r="AS19" s="343"/>
      <c r="AT19" s="343"/>
      <c r="AU19" s="344"/>
      <c r="AV19" s="167"/>
      <c r="AX19" s="345" t="s">
        <v>1328</v>
      </c>
      <c r="AY19" s="346" t="s">
        <v>1329</v>
      </c>
      <c r="AZ19" s="347">
        <v>0</v>
      </c>
      <c r="BA19" s="348">
        <v>0</v>
      </c>
    </row>
    <row r="20" spans="1:53" ht="15.75" customHeight="1" thickBot="1" x14ac:dyDescent="0.25">
      <c r="F20" s="349" t="s">
        <v>1330</v>
      </c>
      <c r="G20" s="350">
        <f>G19+G18</f>
        <v>0</v>
      </c>
      <c r="J20" s="317" t="s">
        <v>1330</v>
      </c>
      <c r="K20" s="351">
        <f>K17+K18-K19</f>
        <v>0</v>
      </c>
      <c r="L20" s="351">
        <f>L17+L18-L19</f>
        <v>0</v>
      </c>
      <c r="V20" s="273" t="s">
        <v>1331</v>
      </c>
      <c r="W20" s="352">
        <f>(W19/1000)*10</f>
        <v>0</v>
      </c>
      <c r="X20" s="353">
        <f>(X19/1000)*10</f>
        <v>0</v>
      </c>
      <c r="AA20" s="951" t="s">
        <v>1332</v>
      </c>
      <c r="AB20" s="952"/>
      <c r="AC20" s="338" t="s">
        <v>21</v>
      </c>
      <c r="AD20" s="339">
        <v>1.6</v>
      </c>
      <c r="AE20" s="339">
        <v>0.35</v>
      </c>
      <c r="AF20" s="339">
        <v>0.1</v>
      </c>
      <c r="AG20" s="339">
        <v>0</v>
      </c>
      <c r="AH20" s="338">
        <v>0</v>
      </c>
      <c r="AN20" s="340" t="s">
        <v>1333</v>
      </c>
      <c r="AO20" s="341"/>
      <c r="AP20" s="338" t="s">
        <v>21</v>
      </c>
      <c r="AQ20" s="354"/>
      <c r="AR20" s="342">
        <v>1.42E-8</v>
      </c>
      <c r="AS20" s="342">
        <v>8.3200000000000003E-5</v>
      </c>
      <c r="AT20" s="354"/>
      <c r="AU20" s="355"/>
      <c r="AV20" s="167"/>
      <c r="AX20" s="356" t="s">
        <v>1334</v>
      </c>
      <c r="AY20" s="357" t="s">
        <v>164</v>
      </c>
      <c r="AZ20" s="260">
        <v>0</v>
      </c>
      <c r="BA20" s="298">
        <v>0</v>
      </c>
    </row>
    <row r="21" spans="1:53" ht="27" customHeight="1" thickBot="1" x14ac:dyDescent="0.45">
      <c r="A21" s="976" t="s">
        <v>1335</v>
      </c>
      <c r="B21" s="977"/>
      <c r="C21" s="977"/>
      <c r="D21" s="977"/>
      <c r="E21" s="977"/>
      <c r="F21" s="977"/>
      <c r="G21" s="977"/>
      <c r="H21" s="977"/>
      <c r="I21" s="977"/>
      <c r="J21" s="977"/>
      <c r="K21" s="977"/>
      <c r="L21" s="978"/>
      <c r="Y21" s="358"/>
      <c r="Z21" s="359"/>
      <c r="AA21" s="951" t="s">
        <v>1336</v>
      </c>
      <c r="AB21" s="952"/>
      <c r="AC21" s="338" t="s">
        <v>21</v>
      </c>
      <c r="AD21" s="339">
        <v>0</v>
      </c>
      <c r="AE21" s="339">
        <v>3.06</v>
      </c>
      <c r="AF21" s="339">
        <v>0</v>
      </c>
      <c r="AG21" s="339">
        <v>0</v>
      </c>
      <c r="AH21" s="338">
        <v>0</v>
      </c>
      <c r="AN21" s="340" t="s">
        <v>1336</v>
      </c>
      <c r="AO21" s="341"/>
      <c r="AP21" s="338" t="s">
        <v>21</v>
      </c>
      <c r="AQ21" s="342">
        <v>1.4500000000000001E-8</v>
      </c>
      <c r="AR21" s="354"/>
      <c r="AS21" s="354"/>
      <c r="AT21" s="354"/>
      <c r="AU21" s="355"/>
      <c r="AV21" s="167"/>
    </row>
    <row r="22" spans="1:53" ht="13.5" thickBot="1" x14ac:dyDescent="0.25">
      <c r="A22" s="360"/>
      <c r="B22" s="361" t="s">
        <v>1337</v>
      </c>
      <c r="C22" s="361" t="s">
        <v>1338</v>
      </c>
      <c r="D22" s="361" t="s">
        <v>1339</v>
      </c>
      <c r="E22" s="361" t="s">
        <v>1340</v>
      </c>
      <c r="F22" s="361" t="s">
        <v>1341</v>
      </c>
      <c r="G22" s="361" t="s">
        <v>1342</v>
      </c>
      <c r="H22" s="361" t="s">
        <v>1343</v>
      </c>
      <c r="I22" s="361" t="s">
        <v>1344</v>
      </c>
      <c r="J22" s="361" t="s">
        <v>1345</v>
      </c>
      <c r="K22" s="362" t="s">
        <v>1346</v>
      </c>
      <c r="L22" s="165" t="s">
        <v>1347</v>
      </c>
      <c r="N22" s="995" t="s">
        <v>1348</v>
      </c>
      <c r="O22" s="996"/>
      <c r="P22" s="997"/>
      <c r="Z22" s="359"/>
      <c r="AA22" s="998" t="s">
        <v>1349</v>
      </c>
      <c r="AB22" s="999"/>
      <c r="AC22" s="363" t="s">
        <v>21</v>
      </c>
      <c r="AD22" s="364">
        <v>0</v>
      </c>
      <c r="AE22" s="364">
        <v>0</v>
      </c>
      <c r="AF22" s="364">
        <v>0</v>
      </c>
      <c r="AG22" s="364">
        <v>25</v>
      </c>
      <c r="AH22" s="363">
        <v>6.0000000000000001E-3</v>
      </c>
      <c r="AN22" s="998" t="s">
        <v>1349</v>
      </c>
      <c r="AO22" s="999"/>
      <c r="AP22" s="363" t="s">
        <v>21</v>
      </c>
      <c r="AQ22" s="365"/>
      <c r="AR22" s="366"/>
      <c r="AS22" s="366"/>
      <c r="AT22" s="365">
        <v>1.98E-7</v>
      </c>
      <c r="AU22" s="367">
        <v>3.4999999999999997E-5</v>
      </c>
      <c r="AV22" s="368"/>
    </row>
    <row r="23" spans="1:53" ht="15.75" thickBot="1" x14ac:dyDescent="0.3">
      <c r="A23" s="369" t="s">
        <v>1350</v>
      </c>
      <c r="B23" s="498">
        <f>'Sheet 2'!C12</f>
        <v>0</v>
      </c>
      <c r="C23" s="498">
        <f>'Sheet 2'!C36</f>
        <v>0</v>
      </c>
      <c r="D23" s="498">
        <f>'Sheet 2'!C60</f>
        <v>0</v>
      </c>
      <c r="E23" s="498">
        <f>'Sheet 2'!C84</f>
        <v>0</v>
      </c>
      <c r="F23" s="498">
        <f>'Sheet 2'!C108</f>
        <v>0</v>
      </c>
      <c r="G23" s="498">
        <f>'Sheet 2'!C132</f>
        <v>0</v>
      </c>
      <c r="H23" s="498">
        <f>'Sheet 2'!C156</f>
        <v>0</v>
      </c>
      <c r="I23" s="498">
        <f>'Sheet 2'!C180</f>
        <v>0</v>
      </c>
      <c r="J23" s="498">
        <f>'Sheet 2'!C204</f>
        <v>0</v>
      </c>
      <c r="K23" s="498">
        <f>'Sheet 2'!C228</f>
        <v>0</v>
      </c>
      <c r="L23" s="370">
        <f>SUM(B23:K23)</f>
        <v>0</v>
      </c>
      <c r="N23" s="371" t="s">
        <v>1351</v>
      </c>
      <c r="O23" s="372" t="s">
        <v>1302</v>
      </c>
      <c r="P23" s="373" t="s">
        <v>1303</v>
      </c>
      <c r="Z23" s="359"/>
      <c r="AA23" s="359"/>
      <c r="AB23" s="359"/>
      <c r="AC23" s="359"/>
      <c r="AR23" s="165"/>
      <c r="AV23" s="167"/>
    </row>
    <row r="24" spans="1:53" ht="13.5" thickBot="1" x14ac:dyDescent="0.25">
      <c r="A24" s="369" t="s">
        <v>1352</v>
      </c>
      <c r="B24" s="318">
        <f>'Sheet 2'!G12</f>
        <v>0</v>
      </c>
      <c r="C24" s="318">
        <f>'Sheet 2'!G36</f>
        <v>0</v>
      </c>
      <c r="D24" s="318">
        <f>'Sheet 2'!G60</f>
        <v>0</v>
      </c>
      <c r="E24" s="318">
        <f>'Sheet 2'!G84</f>
        <v>0</v>
      </c>
      <c r="F24" s="318">
        <f>'Sheet 2'!G108</f>
        <v>0</v>
      </c>
      <c r="G24" s="318">
        <f>'Sheet 2'!G132</f>
        <v>0</v>
      </c>
      <c r="H24" s="318">
        <f>'Sheet 2'!G156</f>
        <v>0</v>
      </c>
      <c r="I24" s="318">
        <f>'Sheet 2'!G180</f>
        <v>0</v>
      </c>
      <c r="J24" s="318">
        <f>'Sheet 2'!G204</f>
        <v>0</v>
      </c>
      <c r="K24" s="318">
        <f>'Sheet 2'!G228</f>
        <v>0</v>
      </c>
      <c r="L24" s="370">
        <f t="shared" ref="L24:L36" si="3">SUM(B24:K24)</f>
        <v>0</v>
      </c>
      <c r="N24" s="212" t="s">
        <v>1353</v>
      </c>
      <c r="O24" s="374">
        <f>SUM(B44:K44)</f>
        <v>0</v>
      </c>
      <c r="P24" s="375">
        <f>SUM(B49:K49)</f>
        <v>0</v>
      </c>
      <c r="V24" s="376" t="s">
        <v>1354</v>
      </c>
      <c r="W24" s="377">
        <v>0</v>
      </c>
      <c r="X24" s="358" t="s">
        <v>1355</v>
      </c>
      <c r="AR24" s="165"/>
      <c r="AV24" s="167"/>
    </row>
    <row r="25" spans="1:53" ht="16.5" thickBot="1" x14ac:dyDescent="0.3">
      <c r="A25" s="369" t="s">
        <v>1356</v>
      </c>
      <c r="B25" s="351">
        <f>B23*B24</f>
        <v>0</v>
      </c>
      <c r="C25" s="351">
        <f t="shared" ref="C25:K25" si="4">C23*C24</f>
        <v>0</v>
      </c>
      <c r="D25" s="351">
        <f t="shared" si="4"/>
        <v>0</v>
      </c>
      <c r="E25" s="351">
        <f t="shared" si="4"/>
        <v>0</v>
      </c>
      <c r="F25" s="351">
        <f t="shared" si="4"/>
        <v>0</v>
      </c>
      <c r="G25" s="351">
        <f t="shared" si="4"/>
        <v>0</v>
      </c>
      <c r="H25" s="351">
        <f t="shared" si="4"/>
        <v>0</v>
      </c>
      <c r="I25" s="351">
        <f t="shared" si="4"/>
        <v>0</v>
      </c>
      <c r="J25" s="351">
        <f t="shared" si="4"/>
        <v>0</v>
      </c>
      <c r="K25" s="351">
        <f t="shared" si="4"/>
        <v>0</v>
      </c>
      <c r="L25" s="370">
        <f t="shared" si="3"/>
        <v>0</v>
      </c>
      <c r="N25" s="212" t="s">
        <v>1357</v>
      </c>
      <c r="O25" s="374">
        <f>O14</f>
        <v>0</v>
      </c>
      <c r="P25" s="375">
        <v>0</v>
      </c>
      <c r="Y25" s="358"/>
      <c r="Z25" s="359"/>
      <c r="AA25" s="359"/>
      <c r="AB25" s="359"/>
      <c r="AC25" s="359"/>
      <c r="AR25" s="165"/>
      <c r="AS25" s="983" t="s">
        <v>1347</v>
      </c>
      <c r="AT25" s="984"/>
      <c r="AV25" s="167"/>
    </row>
    <row r="26" spans="1:53" ht="13.5" thickBot="1" x14ac:dyDescent="0.25">
      <c r="A26" s="369" t="s">
        <v>1358</v>
      </c>
      <c r="B26" s="351">
        <f>B23-B25</f>
        <v>0</v>
      </c>
      <c r="C26" s="351">
        <f t="shared" ref="C26:K26" si="5">C23-C25</f>
        <v>0</v>
      </c>
      <c r="D26" s="351">
        <f t="shared" si="5"/>
        <v>0</v>
      </c>
      <c r="E26" s="351">
        <f t="shared" si="5"/>
        <v>0</v>
      </c>
      <c r="F26" s="351">
        <f t="shared" si="5"/>
        <v>0</v>
      </c>
      <c r="G26" s="351">
        <f t="shared" si="5"/>
        <v>0</v>
      </c>
      <c r="H26" s="351">
        <f t="shared" si="5"/>
        <v>0</v>
      </c>
      <c r="I26" s="351">
        <f t="shared" si="5"/>
        <v>0</v>
      </c>
      <c r="J26" s="351">
        <f t="shared" si="5"/>
        <v>0</v>
      </c>
      <c r="K26" s="351">
        <f t="shared" si="5"/>
        <v>0</v>
      </c>
      <c r="L26" s="370">
        <f t="shared" si="3"/>
        <v>0</v>
      </c>
      <c r="N26" s="212" t="s">
        <v>1232</v>
      </c>
      <c r="O26" s="374">
        <f>R10</f>
        <v>0</v>
      </c>
      <c r="P26" s="375">
        <v>0</v>
      </c>
      <c r="Y26" s="359"/>
      <c r="Z26" s="359"/>
      <c r="AA26" s="359"/>
      <c r="AB26" s="359"/>
      <c r="AQ26" s="985" t="s">
        <v>1359</v>
      </c>
      <c r="AR26" s="986"/>
      <c r="AS26" s="378" t="s">
        <v>1237</v>
      </c>
      <c r="AT26" s="379" t="s">
        <v>1238</v>
      </c>
      <c r="AV26" s="167"/>
    </row>
    <row r="27" spans="1:53" ht="13.5" thickBot="1" x14ac:dyDescent="0.25">
      <c r="A27" s="380" t="s">
        <v>1360</v>
      </c>
      <c r="B27" s="381"/>
      <c r="C27" s="381"/>
      <c r="D27" s="381"/>
      <c r="E27" s="381"/>
      <c r="F27" s="381"/>
      <c r="G27" s="381"/>
      <c r="H27" s="381"/>
      <c r="I27" s="381"/>
      <c r="J27" s="381"/>
      <c r="K27" s="381"/>
      <c r="L27" s="370">
        <f t="shared" si="3"/>
        <v>0</v>
      </c>
      <c r="N27" s="382" t="s">
        <v>1361</v>
      </c>
      <c r="O27" s="383">
        <f>SUM(O24:O26)</f>
        <v>0</v>
      </c>
      <c r="P27" s="384">
        <f>SUM(P24:P26)</f>
        <v>0</v>
      </c>
      <c r="Y27" s="358"/>
      <c r="Z27" s="359"/>
      <c r="AA27" s="359"/>
      <c r="AB27" s="359"/>
      <c r="AC27" s="359"/>
      <c r="AQ27" s="987" t="s">
        <v>1313</v>
      </c>
      <c r="AR27" s="988"/>
      <c r="AS27" s="385">
        <f>SUM(AO6:AQ11)</f>
        <v>0</v>
      </c>
      <c r="AT27" s="386" t="e">
        <f>SUM(AT6:AV11)</f>
        <v>#DIV/0!</v>
      </c>
      <c r="AV27" s="167"/>
    </row>
    <row r="28" spans="1:53" ht="15.75" thickBot="1" x14ac:dyDescent="0.3">
      <c r="A28" s="387" t="s">
        <v>1479</v>
      </c>
      <c r="B28" s="214">
        <f>'Sheet 2'!E32</f>
        <v>0</v>
      </c>
      <c r="C28" s="214">
        <f>'Sheet 2'!$E56</f>
        <v>0</v>
      </c>
      <c r="D28" s="214">
        <f>'Sheet 2'!$E80</f>
        <v>0</v>
      </c>
      <c r="E28" s="214">
        <f>'Sheet 2'!$E104</f>
        <v>0</v>
      </c>
      <c r="F28" s="214">
        <f>'Sheet 2'!$E128</f>
        <v>0</v>
      </c>
      <c r="G28" s="214">
        <f>'Sheet 2'!$E152</f>
        <v>0</v>
      </c>
      <c r="H28" s="214">
        <f>'Sheet 2'!$E176</f>
        <v>0</v>
      </c>
      <c r="I28" s="214">
        <f>'Sheet 2'!$E200</f>
        <v>0</v>
      </c>
      <c r="J28" s="214">
        <f>'Sheet 2'!$E224</f>
        <v>0</v>
      </c>
      <c r="K28" s="214">
        <f>'Sheet 2'!$E248</f>
        <v>0</v>
      </c>
      <c r="L28" s="370" t="e">
        <f>SUMPRODUCT(B23:K23,B28:K28)/L23</f>
        <v>#DIV/0!</v>
      </c>
      <c r="N28" s="371" t="s">
        <v>1362</v>
      </c>
      <c r="O28" s="388" t="s">
        <v>1302</v>
      </c>
      <c r="P28" s="389" t="s">
        <v>1303</v>
      </c>
      <c r="Y28" s="358"/>
      <c r="Z28" s="359"/>
      <c r="AA28" s="359"/>
      <c r="AB28" s="359"/>
      <c r="AC28" s="359"/>
      <c r="AQ28" s="989" t="s">
        <v>1312</v>
      </c>
      <c r="AR28" s="990"/>
      <c r="AS28" s="385">
        <f>SUM(AM6:AN11)</f>
        <v>0</v>
      </c>
      <c r="AT28" s="386" t="e">
        <f>SUM(AR6:AS11)</f>
        <v>#DIV/0!</v>
      </c>
      <c r="AV28" s="167"/>
    </row>
    <row r="29" spans="1:53" ht="15.75" customHeight="1" x14ac:dyDescent="0.2">
      <c r="A29" s="387" t="s">
        <v>1571</v>
      </c>
      <c r="B29" s="214">
        <f>'Sheet 2'!F32</f>
        <v>0</v>
      </c>
      <c r="C29" s="214">
        <f>'Sheet 2'!$F56</f>
        <v>0</v>
      </c>
      <c r="D29" s="214">
        <f>'Sheet 2'!$F80</f>
        <v>0</v>
      </c>
      <c r="E29" s="214">
        <f>'Sheet 2'!$F104</f>
        <v>0</v>
      </c>
      <c r="F29" s="214">
        <f>'Sheet 2'!$F128</f>
        <v>0</v>
      </c>
      <c r="G29" s="214">
        <f>'Sheet 2'!$F152</f>
        <v>0</v>
      </c>
      <c r="H29" s="214">
        <f>'Sheet 2'!$F176</f>
        <v>0</v>
      </c>
      <c r="I29" s="214">
        <f>'Sheet 2'!$F200</f>
        <v>0</v>
      </c>
      <c r="J29" s="214">
        <f>'Sheet 2'!$F224</f>
        <v>0</v>
      </c>
      <c r="K29" s="214">
        <f>'Sheet 2'!$F248</f>
        <v>0</v>
      </c>
      <c r="L29" s="370">
        <f t="shared" si="3"/>
        <v>0</v>
      </c>
      <c r="N29" s="212" t="s">
        <v>1363</v>
      </c>
      <c r="O29" s="374">
        <f>K20</f>
        <v>0</v>
      </c>
      <c r="P29" s="375">
        <f>L20</f>
        <v>0</v>
      </c>
      <c r="AR29" s="165"/>
      <c r="AV29" s="167"/>
    </row>
    <row r="30" spans="1:53" x14ac:dyDescent="0.2">
      <c r="A30" s="387" t="s">
        <v>1639</v>
      </c>
      <c r="B30" s="214">
        <f>'Sheet 2'!G32</f>
        <v>0</v>
      </c>
      <c r="C30" s="214">
        <f>'Sheet 2'!$G56</f>
        <v>0</v>
      </c>
      <c r="D30" s="214">
        <f>'Sheet 2'!$G80</f>
        <v>0</v>
      </c>
      <c r="E30" s="214">
        <f>'Sheet 2'!$G104</f>
        <v>0</v>
      </c>
      <c r="F30" s="214">
        <f>'Sheet 2'!$G128</f>
        <v>0</v>
      </c>
      <c r="G30" s="214">
        <f>'Sheet 2'!$G152</f>
        <v>0</v>
      </c>
      <c r="H30" s="214">
        <f>'Sheet 2'!$G176</f>
        <v>0</v>
      </c>
      <c r="I30" s="214">
        <f>'Sheet 2'!$G200</f>
        <v>0</v>
      </c>
      <c r="J30" s="214">
        <f>'Sheet 2'!$G224</f>
        <v>0</v>
      </c>
      <c r="K30" s="214">
        <f>'Sheet 2'!$G248</f>
        <v>0</v>
      </c>
      <c r="L30" s="370">
        <f t="shared" si="3"/>
        <v>0</v>
      </c>
      <c r="N30" s="212" t="s">
        <v>1364</v>
      </c>
      <c r="O30" s="374">
        <f>O15</f>
        <v>0</v>
      </c>
      <c r="P30" s="375">
        <v>0</v>
      </c>
    </row>
    <row r="31" spans="1:53" ht="12.75" thickBot="1" x14ac:dyDescent="0.25">
      <c r="A31" s="387" t="s">
        <v>1573</v>
      </c>
      <c r="B31" s="214">
        <f>'Sheet 2'!H32</f>
        <v>0</v>
      </c>
      <c r="C31" s="214">
        <f>'Sheet 2'!$H56</f>
        <v>0</v>
      </c>
      <c r="D31" s="214">
        <f>'Sheet 2'!$H80</f>
        <v>0</v>
      </c>
      <c r="E31" s="214">
        <f>'Sheet 2'!$H104</f>
        <v>0</v>
      </c>
      <c r="F31" s="214">
        <f>'Sheet 2'!$H128</f>
        <v>0</v>
      </c>
      <c r="G31" s="214">
        <f>'Sheet 2'!$H152</f>
        <v>0</v>
      </c>
      <c r="H31" s="214">
        <f>'Sheet 2'!$H176</f>
        <v>0</v>
      </c>
      <c r="I31" s="214">
        <f>'Sheet 2'!$H200</f>
        <v>0</v>
      </c>
      <c r="J31" s="214">
        <f>'Sheet 2'!$H224</f>
        <v>0</v>
      </c>
      <c r="K31" s="214">
        <f>'Sheet 2'!$H248</f>
        <v>0</v>
      </c>
      <c r="L31" s="370">
        <f t="shared" si="3"/>
        <v>0</v>
      </c>
      <c r="N31" s="390" t="s">
        <v>1365</v>
      </c>
      <c r="O31" s="391">
        <f>SUM(O29:O30)</f>
        <v>0</v>
      </c>
      <c r="P31" s="392">
        <f>SUM(P29:P30)</f>
        <v>0</v>
      </c>
    </row>
    <row r="32" spans="1:53" ht="16.5" thickBot="1" x14ac:dyDescent="0.25">
      <c r="A32" s="387" t="s">
        <v>1574</v>
      </c>
      <c r="B32" s="214">
        <f>'Sheet 2'!I32</f>
        <v>0</v>
      </c>
      <c r="C32" s="214">
        <f>'Sheet 2'!$I56</f>
        <v>0</v>
      </c>
      <c r="D32" s="214">
        <f>'Sheet 2'!$I80</f>
        <v>0</v>
      </c>
      <c r="E32" s="214">
        <f>'Sheet 2'!$I104</f>
        <v>0</v>
      </c>
      <c r="F32" s="214">
        <f>'Sheet 2'!$I128</f>
        <v>0</v>
      </c>
      <c r="G32" s="214">
        <f>'Sheet 2'!$I152</f>
        <v>0</v>
      </c>
      <c r="H32" s="214">
        <f>'Sheet 2'!$I176</f>
        <v>0</v>
      </c>
      <c r="I32" s="214">
        <f>'Sheet 2'!$I200</f>
        <v>0</v>
      </c>
      <c r="J32" s="214">
        <f>'Sheet 2'!$I224</f>
        <v>0</v>
      </c>
      <c r="K32" s="214">
        <f>'Sheet 2'!$I248</f>
        <v>0</v>
      </c>
      <c r="L32" s="370">
        <f t="shared" si="3"/>
        <v>0</v>
      </c>
      <c r="N32" s="393" t="s">
        <v>1366</v>
      </c>
      <c r="O32" s="394">
        <f>O27-O31</f>
        <v>0</v>
      </c>
      <c r="P32" s="395">
        <f>P27-P31</f>
        <v>0</v>
      </c>
    </row>
    <row r="33" spans="1:40" x14ac:dyDescent="0.2">
      <c r="A33" s="387" t="s">
        <v>1090</v>
      </c>
      <c r="B33" s="214">
        <f>'Sheet 2'!J32</f>
        <v>0</v>
      </c>
      <c r="C33" s="214">
        <f>'Sheet 2'!$J56</f>
        <v>0</v>
      </c>
      <c r="D33" s="214">
        <f>'Sheet 2'!$J80</f>
        <v>0</v>
      </c>
      <c r="E33" s="214">
        <f>'Sheet 2'!$J104</f>
        <v>0</v>
      </c>
      <c r="F33" s="214">
        <f>'Sheet 2'!$J128</f>
        <v>0</v>
      </c>
      <c r="G33" s="214">
        <f>'Sheet 2'!$J152</f>
        <v>0</v>
      </c>
      <c r="H33" s="214">
        <f>'Sheet 2'!$J176</f>
        <v>0</v>
      </c>
      <c r="I33" s="214">
        <f>'Sheet 2'!$J200</f>
        <v>0</v>
      </c>
      <c r="J33" s="214">
        <f>'Sheet 2'!$J224</f>
        <v>0</v>
      </c>
      <c r="K33" s="214">
        <f>'Sheet 2'!$J248</f>
        <v>0</v>
      </c>
      <c r="L33" s="370">
        <f t="shared" si="3"/>
        <v>0</v>
      </c>
      <c r="N33" s="165" t="s">
        <v>1367</v>
      </c>
      <c r="O33" s="165" t="e">
        <f>O32/G17</f>
        <v>#DIV/0!</v>
      </c>
      <c r="P33" s="165" t="e">
        <f>P32/G17</f>
        <v>#DIV/0!</v>
      </c>
    </row>
    <row r="34" spans="1:40" x14ac:dyDescent="0.2">
      <c r="A34" s="387" t="s">
        <v>1575</v>
      </c>
      <c r="B34" s="214">
        <f>'Sheet 2'!K32</f>
        <v>0</v>
      </c>
      <c r="C34" s="214">
        <f>'Sheet 2'!$K56</f>
        <v>0</v>
      </c>
      <c r="D34" s="214">
        <f>'Sheet 2'!$K80</f>
        <v>0</v>
      </c>
      <c r="E34" s="214">
        <f>'Sheet 2'!$K104</f>
        <v>0</v>
      </c>
      <c r="F34" s="214">
        <f>'Sheet 2'!$K128</f>
        <v>0</v>
      </c>
      <c r="G34" s="214">
        <f>'Sheet 2'!$K152</f>
        <v>0</v>
      </c>
      <c r="H34" s="214">
        <f>'Sheet 2'!$K176</f>
        <v>0</v>
      </c>
      <c r="I34" s="214">
        <f>'Sheet 2'!$K200</f>
        <v>0</v>
      </c>
      <c r="J34" s="214">
        <f>'Sheet 2'!$K224</f>
        <v>0</v>
      </c>
      <c r="K34" s="214">
        <f>'Sheet 2'!$K248</f>
        <v>0</v>
      </c>
      <c r="L34" s="370">
        <f t="shared" si="3"/>
        <v>0</v>
      </c>
    </row>
    <row r="35" spans="1:40" ht="12" thickBot="1" x14ac:dyDescent="0.25">
      <c r="A35" s="396" t="s">
        <v>1368</v>
      </c>
      <c r="B35" s="397"/>
      <c r="C35" s="398"/>
      <c r="D35" s="398"/>
      <c r="E35" s="398"/>
      <c r="F35" s="398"/>
      <c r="G35" s="398"/>
      <c r="H35" s="398"/>
      <c r="I35" s="398"/>
      <c r="J35" s="398"/>
      <c r="K35" s="398"/>
      <c r="L35" s="370">
        <f t="shared" si="3"/>
        <v>0</v>
      </c>
    </row>
    <row r="36" spans="1:40" ht="19.5" thickBot="1" x14ac:dyDescent="0.35">
      <c r="A36" s="317" t="s">
        <v>1481</v>
      </c>
      <c r="B36" s="399" t="e">
        <f>SUMPRODUCT('Sheet 1'!E16:E27,'Sheet 1'!O16:O27)/'Sheet 1'!C4</f>
        <v>#DIV/0!</v>
      </c>
      <c r="C36" s="214" t="e">
        <f>B36</f>
        <v>#DIV/0!</v>
      </c>
      <c r="D36" s="214" t="e">
        <f>B36</f>
        <v>#DIV/0!</v>
      </c>
      <c r="E36" s="214" t="e">
        <f>B36</f>
        <v>#DIV/0!</v>
      </c>
      <c r="F36" s="214" t="e">
        <f>B36</f>
        <v>#DIV/0!</v>
      </c>
      <c r="G36" s="214" t="e">
        <f>B36</f>
        <v>#DIV/0!</v>
      </c>
      <c r="H36" s="214" t="e">
        <f>B36</f>
        <v>#DIV/0!</v>
      </c>
      <c r="I36" s="214" t="e">
        <f>B36</f>
        <v>#DIV/0!</v>
      </c>
      <c r="J36" s="214" t="e">
        <f>B36</f>
        <v>#DIV/0!</v>
      </c>
      <c r="K36" s="214" t="e">
        <f>B36</f>
        <v>#DIV/0!</v>
      </c>
      <c r="L36" s="370" t="e">
        <f t="shared" si="3"/>
        <v>#DIV/0!</v>
      </c>
      <c r="N36" s="991" t="s">
        <v>1369</v>
      </c>
      <c r="O36" s="992"/>
      <c r="P36" s="992"/>
      <c r="Q36" s="992"/>
      <c r="R36" s="993"/>
      <c r="T36" s="400" t="s">
        <v>1370</v>
      </c>
      <c r="U36" s="401"/>
      <c r="V36" s="402"/>
    </row>
    <row r="37" spans="1:40" ht="12.75" thickBot="1" x14ac:dyDescent="0.25">
      <c r="A37" s="317" t="s">
        <v>1482</v>
      </c>
      <c r="B37" s="500" t="e">
        <f>SUMPRODUCT('Sheet 1'!E16:E27,'Sheet 1'!P16:P27)/'Sheet 1'!C4</f>
        <v>#DIV/0!</v>
      </c>
      <c r="C37" s="214" t="e">
        <f t="shared" ref="C37:C41" si="6">B37</f>
        <v>#DIV/0!</v>
      </c>
      <c r="D37" s="214" t="e">
        <f t="shared" ref="D37:D41" si="7">B37</f>
        <v>#DIV/0!</v>
      </c>
      <c r="E37" s="214" t="e">
        <f t="shared" ref="E37:E41" si="8">B37</f>
        <v>#DIV/0!</v>
      </c>
      <c r="F37" s="214" t="e">
        <f t="shared" ref="F37:F41" si="9">B37</f>
        <v>#DIV/0!</v>
      </c>
      <c r="G37" s="214" t="e">
        <f t="shared" ref="G37:G41" si="10">B37</f>
        <v>#DIV/0!</v>
      </c>
      <c r="H37" s="214" t="e">
        <f t="shared" ref="H37:H41" si="11">B37</f>
        <v>#DIV/0!</v>
      </c>
      <c r="I37" s="214" t="e">
        <f t="shared" ref="I37:I41" si="12">B37</f>
        <v>#DIV/0!</v>
      </c>
      <c r="J37" s="214" t="e">
        <f t="shared" ref="J37:J41" si="13">B37</f>
        <v>#DIV/0!</v>
      </c>
      <c r="K37" s="214" t="e">
        <f t="shared" ref="K37:K41" si="14">B37</f>
        <v>#DIV/0!</v>
      </c>
      <c r="L37" s="370" t="e">
        <f t="shared" ref="L37:L58" si="15">SUM(B37:K37)</f>
        <v>#DIV/0!</v>
      </c>
      <c r="N37" s="403" t="s">
        <v>1371</v>
      </c>
      <c r="O37" s="404" t="s">
        <v>1372</v>
      </c>
      <c r="P37" s="404" t="s">
        <v>1373</v>
      </c>
      <c r="Q37" s="404" t="s">
        <v>1374</v>
      </c>
      <c r="R37" s="405" t="s">
        <v>1375</v>
      </c>
      <c r="T37" s="406" t="s">
        <v>1376</v>
      </c>
      <c r="U37" s="407"/>
      <c r="V37" s="408"/>
    </row>
    <row r="38" spans="1:40" ht="12.75" x14ac:dyDescent="0.2">
      <c r="A38" s="317" t="s">
        <v>1483</v>
      </c>
      <c r="B38" s="500" t="e">
        <f>SUMPRODUCT('Sheet 1'!E16:E27,'Sheet 1'!Q16:Q27)/'Sheet 1'!C4</f>
        <v>#DIV/0!</v>
      </c>
      <c r="C38" s="214" t="e">
        <f t="shared" si="6"/>
        <v>#DIV/0!</v>
      </c>
      <c r="D38" s="214" t="e">
        <f t="shared" si="7"/>
        <v>#DIV/0!</v>
      </c>
      <c r="E38" s="214" t="e">
        <f t="shared" si="8"/>
        <v>#DIV/0!</v>
      </c>
      <c r="F38" s="214" t="e">
        <f t="shared" si="9"/>
        <v>#DIV/0!</v>
      </c>
      <c r="G38" s="214" t="e">
        <f t="shared" si="10"/>
        <v>#DIV/0!</v>
      </c>
      <c r="H38" s="214" t="e">
        <f t="shared" si="11"/>
        <v>#DIV/0!</v>
      </c>
      <c r="I38" s="214" t="e">
        <f t="shared" si="12"/>
        <v>#DIV/0!</v>
      </c>
      <c r="J38" s="214" t="e">
        <f t="shared" si="13"/>
        <v>#DIV/0!</v>
      </c>
      <c r="K38" s="214" t="e">
        <f t="shared" si="14"/>
        <v>#DIV/0!</v>
      </c>
      <c r="L38" s="370" t="e">
        <f t="shared" si="15"/>
        <v>#DIV/0!</v>
      </c>
      <c r="N38" s="409" t="s">
        <v>21</v>
      </c>
      <c r="O38" s="410" t="s">
        <v>21</v>
      </c>
      <c r="P38" s="410" t="s">
        <v>21</v>
      </c>
      <c r="Q38" s="411" t="s">
        <v>1377</v>
      </c>
      <c r="R38" s="412" t="s">
        <v>1378</v>
      </c>
      <c r="T38" s="413" t="s">
        <v>1379</v>
      </c>
      <c r="U38" s="414" t="e">
        <f>SUM(B62:K62)</f>
        <v>#DIV/0!</v>
      </c>
      <c r="V38" s="415" t="e">
        <f>SUM(B67:K67)</f>
        <v>#DIV/0!</v>
      </c>
      <c r="AJ38" s="358"/>
      <c r="AK38" s="251"/>
      <c r="AL38" s="175"/>
      <c r="AM38" s="175"/>
      <c r="AN38" s="175"/>
    </row>
    <row r="39" spans="1:40" ht="12" thickBot="1" x14ac:dyDescent="0.25">
      <c r="A39" s="317" t="s">
        <v>1640</v>
      </c>
      <c r="B39" s="500" t="e">
        <f>SUMPRODUCT('Sheet 1'!E16:E27,'Sheet 1'!R16:R27)/'Sheet 1'!C4</f>
        <v>#DIV/0!</v>
      </c>
      <c r="C39" s="214" t="e">
        <f t="shared" si="6"/>
        <v>#DIV/0!</v>
      </c>
      <c r="D39" s="214" t="e">
        <f t="shared" si="7"/>
        <v>#DIV/0!</v>
      </c>
      <c r="E39" s="214" t="e">
        <f t="shared" si="8"/>
        <v>#DIV/0!</v>
      </c>
      <c r="F39" s="214" t="e">
        <f t="shared" si="9"/>
        <v>#DIV/0!</v>
      </c>
      <c r="G39" s="214" t="e">
        <f t="shared" si="10"/>
        <v>#DIV/0!</v>
      </c>
      <c r="H39" s="214" t="e">
        <f t="shared" si="11"/>
        <v>#DIV/0!</v>
      </c>
      <c r="I39" s="214" t="e">
        <f t="shared" si="12"/>
        <v>#DIV/0!</v>
      </c>
      <c r="J39" s="214" t="e">
        <f t="shared" si="13"/>
        <v>#DIV/0!</v>
      </c>
      <c r="K39" s="214" t="e">
        <f t="shared" si="14"/>
        <v>#DIV/0!</v>
      </c>
      <c r="L39" s="370" t="e">
        <f t="shared" si="15"/>
        <v>#DIV/0!</v>
      </c>
      <c r="N39" s="416">
        <f>O44</f>
        <v>0</v>
      </c>
      <c r="O39" s="417">
        <f>O46</f>
        <v>0</v>
      </c>
      <c r="P39" s="417">
        <f>O45</f>
        <v>0</v>
      </c>
      <c r="Q39" s="417">
        <f>0.25*P32</f>
        <v>0</v>
      </c>
      <c r="R39" s="353">
        <f>0.75*P32</f>
        <v>0</v>
      </c>
      <c r="T39" s="263" t="s">
        <v>1380</v>
      </c>
      <c r="U39" s="418">
        <f>K20</f>
        <v>0</v>
      </c>
      <c r="V39" s="418">
        <f>L20</f>
        <v>0</v>
      </c>
    </row>
    <row r="40" spans="1:40" ht="12" thickBot="1" x14ac:dyDescent="0.25">
      <c r="A40" s="317" t="s">
        <v>1485</v>
      </c>
      <c r="B40" s="500" t="e">
        <f>SUMPRODUCT('Sheet 1'!E16:E27,'Sheet 1'!S16:S27)/'Sheet 1'!C4</f>
        <v>#DIV/0!</v>
      </c>
      <c r="C40" s="214" t="e">
        <f t="shared" si="6"/>
        <v>#DIV/0!</v>
      </c>
      <c r="D40" s="214" t="e">
        <f t="shared" si="7"/>
        <v>#DIV/0!</v>
      </c>
      <c r="E40" s="214" t="e">
        <f t="shared" si="8"/>
        <v>#DIV/0!</v>
      </c>
      <c r="F40" s="214" t="e">
        <f t="shared" si="9"/>
        <v>#DIV/0!</v>
      </c>
      <c r="G40" s="214" t="e">
        <f t="shared" si="10"/>
        <v>#DIV/0!</v>
      </c>
      <c r="H40" s="214" t="e">
        <f t="shared" si="11"/>
        <v>#DIV/0!</v>
      </c>
      <c r="I40" s="214" t="e">
        <f t="shared" si="12"/>
        <v>#DIV/0!</v>
      </c>
      <c r="J40" s="214" t="e">
        <f t="shared" si="13"/>
        <v>#DIV/0!</v>
      </c>
      <c r="K40" s="214" t="e">
        <f t="shared" si="14"/>
        <v>#DIV/0!</v>
      </c>
      <c r="L40" s="370" t="e">
        <f t="shared" si="15"/>
        <v>#DIV/0!</v>
      </c>
      <c r="T40" s="263" t="s">
        <v>1381</v>
      </c>
      <c r="U40" s="419">
        <f>O25</f>
        <v>0</v>
      </c>
      <c r="V40" s="218">
        <f>P25</f>
        <v>0</v>
      </c>
    </row>
    <row r="41" spans="1:40" ht="12" thickBot="1" x14ac:dyDescent="0.25">
      <c r="A41" s="317" t="s">
        <v>1486</v>
      </c>
      <c r="B41" s="500" t="e">
        <f>SUMPRODUCT('Sheet 1'!E16:E27,'Sheet 1'!T16:T27)/'Sheet 1'!C4</f>
        <v>#DIV/0!</v>
      </c>
      <c r="C41" s="214" t="e">
        <f t="shared" si="6"/>
        <v>#DIV/0!</v>
      </c>
      <c r="D41" s="214" t="e">
        <f t="shared" si="7"/>
        <v>#DIV/0!</v>
      </c>
      <c r="E41" s="214" t="e">
        <f t="shared" si="8"/>
        <v>#DIV/0!</v>
      </c>
      <c r="F41" s="214" t="e">
        <f t="shared" si="9"/>
        <v>#DIV/0!</v>
      </c>
      <c r="G41" s="214" t="e">
        <f t="shared" si="10"/>
        <v>#DIV/0!</v>
      </c>
      <c r="H41" s="214" t="e">
        <f t="shared" si="11"/>
        <v>#DIV/0!</v>
      </c>
      <c r="I41" s="214" t="e">
        <f t="shared" si="12"/>
        <v>#DIV/0!</v>
      </c>
      <c r="J41" s="214" t="e">
        <f t="shared" si="13"/>
        <v>#DIV/0!</v>
      </c>
      <c r="K41" s="214" t="e">
        <f t="shared" si="14"/>
        <v>#DIV/0!</v>
      </c>
      <c r="L41" s="370" t="e">
        <f t="shared" si="15"/>
        <v>#DIV/0!</v>
      </c>
      <c r="N41" s="420" t="s">
        <v>1382</v>
      </c>
      <c r="O41" s="421" t="s">
        <v>1302</v>
      </c>
      <c r="P41" s="422" t="s">
        <v>1383</v>
      </c>
      <c r="T41" s="423" t="s">
        <v>1232</v>
      </c>
      <c r="U41" s="424">
        <f>O26</f>
        <v>0</v>
      </c>
      <c r="V41" s="425">
        <f>P26</f>
        <v>0</v>
      </c>
    </row>
    <row r="42" spans="1:40" ht="12" thickBot="1" x14ac:dyDescent="0.25">
      <c r="A42" s="396" t="s">
        <v>1384</v>
      </c>
      <c r="B42" s="397"/>
      <c r="C42" s="397"/>
      <c r="D42" s="398"/>
      <c r="E42" s="426"/>
      <c r="F42" s="397"/>
      <c r="G42" s="397"/>
      <c r="H42" s="397"/>
      <c r="I42" s="397"/>
      <c r="J42" s="397"/>
      <c r="K42" s="397"/>
      <c r="L42" s="370">
        <f t="shared" si="15"/>
        <v>0</v>
      </c>
      <c r="N42" s="263" t="s">
        <v>1385</v>
      </c>
      <c r="O42" s="418">
        <f>O27*P42</f>
        <v>0</v>
      </c>
      <c r="P42" s="427">
        <v>0.315</v>
      </c>
      <c r="Q42" s="300" t="s">
        <v>1302</v>
      </c>
      <c r="T42" s="428" t="s">
        <v>1386</v>
      </c>
      <c r="U42" s="429" t="e">
        <f>U38+U40+U41-U39</f>
        <v>#DIV/0!</v>
      </c>
      <c r="V42" s="429" t="e">
        <f>V38+V40+V41-V39</f>
        <v>#DIV/0!</v>
      </c>
    </row>
    <row r="43" spans="1:40" ht="12" x14ac:dyDescent="0.2">
      <c r="A43" s="317" t="s">
        <v>1481</v>
      </c>
      <c r="B43" s="351">
        <f>B28*B$23</f>
        <v>0</v>
      </c>
      <c r="C43" s="351">
        <f t="shared" ref="C43:K43" si="16">C28*C$23</f>
        <v>0</v>
      </c>
      <c r="D43" s="351">
        <f t="shared" si="16"/>
        <v>0</v>
      </c>
      <c r="E43" s="351">
        <f t="shared" si="16"/>
        <v>0</v>
      </c>
      <c r="F43" s="351">
        <f t="shared" si="16"/>
        <v>0</v>
      </c>
      <c r="G43" s="351">
        <f t="shared" si="16"/>
        <v>0</v>
      </c>
      <c r="H43" s="351">
        <f t="shared" si="16"/>
        <v>0</v>
      </c>
      <c r="I43" s="351">
        <f t="shared" si="16"/>
        <v>0</v>
      </c>
      <c r="J43" s="351">
        <f t="shared" si="16"/>
        <v>0</v>
      </c>
      <c r="K43" s="351">
        <f t="shared" si="16"/>
        <v>0</v>
      </c>
      <c r="L43" s="370">
        <f t="shared" si="15"/>
        <v>0</v>
      </c>
      <c r="N43" s="263" t="s">
        <v>1387</v>
      </c>
      <c r="O43" s="418">
        <f>IF(O32&lt;0,0,P43*O27)</f>
        <v>0</v>
      </c>
      <c r="P43" s="427">
        <v>0.17399999999999999</v>
      </c>
      <c r="Q43" s="187" t="s">
        <v>1388</v>
      </c>
      <c r="T43" s="430" t="s">
        <v>1389</v>
      </c>
      <c r="U43" s="407" t="s">
        <v>1302</v>
      </c>
      <c r="V43" s="431" t="s">
        <v>1303</v>
      </c>
    </row>
    <row r="44" spans="1:40" x14ac:dyDescent="0.2">
      <c r="A44" s="317" t="s">
        <v>1390</v>
      </c>
      <c r="B44" s="351">
        <f>B43/6.25</f>
        <v>0</v>
      </c>
      <c r="C44" s="351">
        <f t="shared" ref="C44:K44" si="17">C43/6.25</f>
        <v>0</v>
      </c>
      <c r="D44" s="351">
        <f t="shared" si="17"/>
        <v>0</v>
      </c>
      <c r="E44" s="351">
        <f t="shared" si="17"/>
        <v>0</v>
      </c>
      <c r="F44" s="351">
        <f t="shared" si="17"/>
        <v>0</v>
      </c>
      <c r="G44" s="351">
        <f t="shared" si="17"/>
        <v>0</v>
      </c>
      <c r="H44" s="351">
        <f t="shared" si="17"/>
        <v>0</v>
      </c>
      <c r="I44" s="351">
        <f t="shared" si="17"/>
        <v>0</v>
      </c>
      <c r="J44" s="351">
        <f t="shared" si="17"/>
        <v>0</v>
      </c>
      <c r="K44" s="351">
        <f t="shared" si="17"/>
        <v>0</v>
      </c>
      <c r="L44" s="370">
        <f t="shared" si="15"/>
        <v>0</v>
      </c>
      <c r="N44" s="263" t="s">
        <v>1391</v>
      </c>
      <c r="O44" s="418">
        <f>IF(O32&lt;0,0,P44*O27)</f>
        <v>0</v>
      </c>
      <c r="P44" s="427">
        <v>0.125</v>
      </c>
      <c r="Q44" s="187" t="s">
        <v>1392</v>
      </c>
      <c r="T44" s="413" t="s">
        <v>1393</v>
      </c>
      <c r="U44" s="414">
        <f>SUM(B53:K53)</f>
        <v>0</v>
      </c>
      <c r="V44" s="415">
        <f>SUM(B58:K58)</f>
        <v>0</v>
      </c>
    </row>
    <row r="45" spans="1:40" ht="12" thickBot="1" x14ac:dyDescent="0.25">
      <c r="A45" s="317" t="s">
        <v>1482</v>
      </c>
      <c r="B45" s="351">
        <f>B29*B$23</f>
        <v>0</v>
      </c>
      <c r="C45" s="351">
        <f t="shared" ref="C45:K49" si="18">C29*C$23</f>
        <v>0</v>
      </c>
      <c r="D45" s="351">
        <f t="shared" si="18"/>
        <v>0</v>
      </c>
      <c r="E45" s="351">
        <f t="shared" si="18"/>
        <v>0</v>
      </c>
      <c r="F45" s="351">
        <f t="shared" si="18"/>
        <v>0</v>
      </c>
      <c r="G45" s="351">
        <f t="shared" si="18"/>
        <v>0</v>
      </c>
      <c r="H45" s="351">
        <f t="shared" si="18"/>
        <v>0</v>
      </c>
      <c r="I45" s="351">
        <f t="shared" si="18"/>
        <v>0</v>
      </c>
      <c r="J45" s="351">
        <f t="shared" si="18"/>
        <v>0</v>
      </c>
      <c r="K45" s="351">
        <f t="shared" si="18"/>
        <v>0</v>
      </c>
      <c r="L45" s="370">
        <f t="shared" si="15"/>
        <v>0</v>
      </c>
      <c r="N45" s="263" t="s">
        <v>1394</v>
      </c>
      <c r="O45" s="418">
        <f>IF(O32&lt;0,0,O27*P45)</f>
        <v>0</v>
      </c>
      <c r="P45" s="432">
        <v>0.22600000000000001</v>
      </c>
      <c r="Q45" s="433" t="s">
        <v>1395</v>
      </c>
      <c r="R45" s="175"/>
      <c r="S45" s="175"/>
      <c r="T45" s="434" t="s">
        <v>1396</v>
      </c>
      <c r="U45" s="418" t="e">
        <f>SUM(B71:K71)</f>
        <v>#DIV/0!</v>
      </c>
      <c r="V45" s="435" t="e">
        <f>SUM(B76:K76)</f>
        <v>#DIV/0!</v>
      </c>
    </row>
    <row r="46" spans="1:40" ht="12.75" thickBot="1" x14ac:dyDescent="0.25">
      <c r="A46" s="317" t="s">
        <v>1483</v>
      </c>
      <c r="B46" s="351">
        <f>B30*B$23</f>
        <v>0</v>
      </c>
      <c r="C46" s="351">
        <f t="shared" si="18"/>
        <v>0</v>
      </c>
      <c r="D46" s="351">
        <f t="shared" si="18"/>
        <v>0</v>
      </c>
      <c r="E46" s="351">
        <f t="shared" si="18"/>
        <v>0</v>
      </c>
      <c r="F46" s="351">
        <f t="shared" si="18"/>
        <v>0</v>
      </c>
      <c r="G46" s="351">
        <f t="shared" si="18"/>
        <v>0</v>
      </c>
      <c r="H46" s="351">
        <f t="shared" si="18"/>
        <v>0</v>
      </c>
      <c r="I46" s="351">
        <f t="shared" si="18"/>
        <v>0</v>
      </c>
      <c r="J46" s="351">
        <f t="shared" si="18"/>
        <v>0</v>
      </c>
      <c r="K46" s="351">
        <f t="shared" si="18"/>
        <v>0</v>
      </c>
      <c r="L46" s="370">
        <f t="shared" si="15"/>
        <v>0</v>
      </c>
      <c r="N46" s="376" t="s">
        <v>1397</v>
      </c>
      <c r="O46" s="377">
        <f>O32-O43-O44-O45</f>
        <v>0</v>
      </c>
      <c r="T46" s="436" t="s">
        <v>1398</v>
      </c>
      <c r="U46" s="437" t="e">
        <f>U44+U45</f>
        <v>#DIV/0!</v>
      </c>
      <c r="V46" s="438" t="e">
        <f>SUM(V44:V45)</f>
        <v>#DIV/0!</v>
      </c>
    </row>
    <row r="47" spans="1:40" x14ac:dyDescent="0.2">
      <c r="A47" s="317" t="s">
        <v>1640</v>
      </c>
      <c r="B47" s="351">
        <f>B31*B$23</f>
        <v>0</v>
      </c>
      <c r="C47" s="351">
        <f t="shared" si="18"/>
        <v>0</v>
      </c>
      <c r="D47" s="351">
        <f t="shared" si="18"/>
        <v>0</v>
      </c>
      <c r="E47" s="351">
        <f t="shared" si="18"/>
        <v>0</v>
      </c>
      <c r="F47" s="351">
        <f t="shared" si="18"/>
        <v>0</v>
      </c>
      <c r="G47" s="351">
        <f t="shared" si="18"/>
        <v>0</v>
      </c>
      <c r="H47" s="351">
        <f t="shared" si="18"/>
        <v>0</v>
      </c>
      <c r="I47" s="351">
        <f t="shared" si="18"/>
        <v>0</v>
      </c>
      <c r="J47" s="351">
        <f t="shared" si="18"/>
        <v>0</v>
      </c>
      <c r="K47" s="351">
        <f t="shared" si="18"/>
        <v>0</v>
      </c>
      <c r="L47" s="370">
        <f t="shared" si="15"/>
        <v>0</v>
      </c>
    </row>
    <row r="48" spans="1:40" x14ac:dyDescent="0.2">
      <c r="A48" s="317" t="s">
        <v>1485</v>
      </c>
      <c r="B48" s="351">
        <f>B32*B$23</f>
        <v>0</v>
      </c>
      <c r="C48" s="351">
        <f t="shared" si="18"/>
        <v>0</v>
      </c>
      <c r="D48" s="351">
        <f t="shared" si="18"/>
        <v>0</v>
      </c>
      <c r="E48" s="351">
        <f t="shared" si="18"/>
        <v>0</v>
      </c>
      <c r="F48" s="351">
        <f t="shared" si="18"/>
        <v>0</v>
      </c>
      <c r="G48" s="351">
        <f t="shared" si="18"/>
        <v>0</v>
      </c>
      <c r="H48" s="351">
        <f t="shared" si="18"/>
        <v>0</v>
      </c>
      <c r="I48" s="351">
        <f t="shared" si="18"/>
        <v>0</v>
      </c>
      <c r="J48" s="351">
        <f t="shared" si="18"/>
        <v>0</v>
      </c>
      <c r="K48" s="351">
        <f t="shared" si="18"/>
        <v>0</v>
      </c>
      <c r="L48" s="370">
        <f t="shared" si="15"/>
        <v>0</v>
      </c>
      <c r="M48" s="439"/>
    </row>
    <row r="49" spans="1:32" ht="15" x14ac:dyDescent="0.25">
      <c r="A49" s="317" t="s">
        <v>1486</v>
      </c>
      <c r="B49" s="351">
        <f>B33*B$23</f>
        <v>0</v>
      </c>
      <c r="C49" s="351">
        <f t="shared" si="18"/>
        <v>0</v>
      </c>
      <c r="D49" s="351">
        <f t="shared" si="18"/>
        <v>0</v>
      </c>
      <c r="E49" s="351">
        <f t="shared" si="18"/>
        <v>0</v>
      </c>
      <c r="F49" s="351">
        <f t="shared" si="18"/>
        <v>0</v>
      </c>
      <c r="G49" s="351">
        <f t="shared" si="18"/>
        <v>0</v>
      </c>
      <c r="H49" s="351">
        <f t="shared" si="18"/>
        <v>0</v>
      </c>
      <c r="I49" s="351">
        <f t="shared" si="18"/>
        <v>0</v>
      </c>
      <c r="J49" s="351">
        <f t="shared" si="18"/>
        <v>0</v>
      </c>
      <c r="K49" s="351">
        <f t="shared" si="18"/>
        <v>0</v>
      </c>
      <c r="L49" s="370">
        <f t="shared" si="15"/>
        <v>0</v>
      </c>
      <c r="O49" s="370"/>
      <c r="P49" s="370"/>
      <c r="R49" s="994"/>
      <c r="S49" s="994"/>
      <c r="AE49" s="59"/>
      <c r="AF49" s="59"/>
    </row>
    <row r="50" spans="1:32" x14ac:dyDescent="0.2">
      <c r="A50" s="317"/>
      <c r="B50" s="351">
        <f>SUM(B43,B45:B49)</f>
        <v>0</v>
      </c>
      <c r="C50" s="351">
        <f t="shared" ref="C50:K50" si="19">SUM(C43,C45:C49)</f>
        <v>0</v>
      </c>
      <c r="D50" s="351">
        <f t="shared" si="19"/>
        <v>0</v>
      </c>
      <c r="E50" s="351">
        <f t="shared" si="19"/>
        <v>0</v>
      </c>
      <c r="F50" s="351">
        <f t="shared" si="19"/>
        <v>0</v>
      </c>
      <c r="G50" s="351">
        <f t="shared" si="19"/>
        <v>0</v>
      </c>
      <c r="H50" s="351">
        <f t="shared" si="19"/>
        <v>0</v>
      </c>
      <c r="I50" s="351">
        <f t="shared" si="19"/>
        <v>0</v>
      </c>
      <c r="J50" s="351">
        <f t="shared" si="19"/>
        <v>0</v>
      </c>
      <c r="K50" s="351">
        <f t="shared" si="19"/>
        <v>0</v>
      </c>
      <c r="L50" s="370">
        <f t="shared" si="15"/>
        <v>0</v>
      </c>
      <c r="R50" s="175"/>
      <c r="S50" s="175"/>
    </row>
    <row r="51" spans="1:32" ht="15" x14ac:dyDescent="0.25">
      <c r="A51" s="396" t="s">
        <v>1399</v>
      </c>
      <c r="B51" s="397"/>
      <c r="C51" s="398"/>
      <c r="D51" s="397"/>
      <c r="E51" s="397"/>
      <c r="F51" s="397"/>
      <c r="G51" s="397"/>
      <c r="H51" s="397"/>
      <c r="I51" s="397"/>
      <c r="J51" s="397"/>
      <c r="K51" s="397"/>
      <c r="L51" s="370">
        <f t="shared" si="15"/>
        <v>0</v>
      </c>
      <c r="R51" s="166"/>
      <c r="S51" s="166"/>
      <c r="AA51" s="175"/>
      <c r="AB51" s="175"/>
      <c r="AC51" s="175"/>
      <c r="AE51" s="59"/>
      <c r="AF51" s="59"/>
    </row>
    <row r="52" spans="1:32" ht="15" x14ac:dyDescent="0.25">
      <c r="A52" s="317" t="s">
        <v>1481</v>
      </c>
      <c r="B52" s="351">
        <f>B$24*B43</f>
        <v>0</v>
      </c>
      <c r="C52" s="351">
        <f t="shared" ref="C52:K52" si="20">C$24*C43</f>
        <v>0</v>
      </c>
      <c r="D52" s="351">
        <f t="shared" si="20"/>
        <v>0</v>
      </c>
      <c r="E52" s="351">
        <f t="shared" si="20"/>
        <v>0</v>
      </c>
      <c r="F52" s="351">
        <f t="shared" si="20"/>
        <v>0</v>
      </c>
      <c r="G52" s="351">
        <f t="shared" si="20"/>
        <v>0</v>
      </c>
      <c r="H52" s="351">
        <f t="shared" si="20"/>
        <v>0</v>
      </c>
      <c r="I52" s="351">
        <f t="shared" si="20"/>
        <v>0</v>
      </c>
      <c r="J52" s="351">
        <f t="shared" si="20"/>
        <v>0</v>
      </c>
      <c r="K52" s="351">
        <f t="shared" si="20"/>
        <v>0</v>
      </c>
      <c r="L52" s="370">
        <f t="shared" si="15"/>
        <v>0</v>
      </c>
      <c r="R52" s="419"/>
      <c r="S52" s="419"/>
      <c r="AC52" s="176"/>
      <c r="AE52" s="59"/>
      <c r="AF52" s="59"/>
    </row>
    <row r="53" spans="1:32" ht="15" x14ac:dyDescent="0.25">
      <c r="A53" s="317" t="s">
        <v>1390</v>
      </c>
      <c r="B53" s="351">
        <f>B52/6.25</f>
        <v>0</v>
      </c>
      <c r="C53" s="351">
        <f t="shared" ref="C53:K53" si="21">C52/6.25</f>
        <v>0</v>
      </c>
      <c r="D53" s="351">
        <f t="shared" si="21"/>
        <v>0</v>
      </c>
      <c r="E53" s="351">
        <f t="shared" si="21"/>
        <v>0</v>
      </c>
      <c r="F53" s="351">
        <f t="shared" si="21"/>
        <v>0</v>
      </c>
      <c r="G53" s="351">
        <f t="shared" si="21"/>
        <v>0</v>
      </c>
      <c r="H53" s="351">
        <f t="shared" si="21"/>
        <v>0</v>
      </c>
      <c r="I53" s="351">
        <f t="shared" si="21"/>
        <v>0</v>
      </c>
      <c r="J53" s="351">
        <f t="shared" si="21"/>
        <v>0</v>
      </c>
      <c r="K53" s="351">
        <f t="shared" si="21"/>
        <v>0</v>
      </c>
      <c r="L53" s="370">
        <f t="shared" si="15"/>
        <v>0</v>
      </c>
      <c r="R53" s="419"/>
      <c r="S53" s="419"/>
      <c r="AC53" s="166"/>
      <c r="AE53" s="59"/>
      <c r="AF53" s="59"/>
    </row>
    <row r="54" spans="1:32" ht="15" x14ac:dyDescent="0.25">
      <c r="A54" s="317" t="s">
        <v>1482</v>
      </c>
      <c r="B54" s="351">
        <f>B$24*B45</f>
        <v>0</v>
      </c>
      <c r="C54" s="351">
        <f t="shared" ref="C54:K58" si="22">C$24*C45</f>
        <v>0</v>
      </c>
      <c r="D54" s="351">
        <f t="shared" si="22"/>
        <v>0</v>
      </c>
      <c r="E54" s="351">
        <f t="shared" si="22"/>
        <v>0</v>
      </c>
      <c r="F54" s="351">
        <f t="shared" si="22"/>
        <v>0</v>
      </c>
      <c r="G54" s="351">
        <f t="shared" si="22"/>
        <v>0</v>
      </c>
      <c r="H54" s="351">
        <f t="shared" si="22"/>
        <v>0</v>
      </c>
      <c r="I54" s="351">
        <f t="shared" si="22"/>
        <v>0</v>
      </c>
      <c r="J54" s="351">
        <f t="shared" si="22"/>
        <v>0</v>
      </c>
      <c r="K54" s="351">
        <f t="shared" si="22"/>
        <v>0</v>
      </c>
      <c r="L54" s="370">
        <f t="shared" si="15"/>
        <v>0</v>
      </c>
      <c r="R54" s="166"/>
      <c r="S54" s="166"/>
      <c r="AC54" s="166"/>
      <c r="AE54" s="59"/>
      <c r="AF54" s="59"/>
    </row>
    <row r="55" spans="1:32" ht="15" customHeight="1" x14ac:dyDescent="0.25">
      <c r="A55" s="317" t="s">
        <v>1483</v>
      </c>
      <c r="B55" s="351">
        <f>B$24*B46</f>
        <v>0</v>
      </c>
      <c r="C55" s="351">
        <f t="shared" si="22"/>
        <v>0</v>
      </c>
      <c r="D55" s="351">
        <f t="shared" si="22"/>
        <v>0</v>
      </c>
      <c r="E55" s="351">
        <f t="shared" si="22"/>
        <v>0</v>
      </c>
      <c r="F55" s="351">
        <f t="shared" si="22"/>
        <v>0</v>
      </c>
      <c r="G55" s="351">
        <f t="shared" si="22"/>
        <v>0</v>
      </c>
      <c r="H55" s="351">
        <f t="shared" si="22"/>
        <v>0</v>
      </c>
      <c r="I55" s="351">
        <f t="shared" si="22"/>
        <v>0</v>
      </c>
      <c r="J55" s="351">
        <f t="shared" si="22"/>
        <v>0</v>
      </c>
      <c r="K55" s="351">
        <f t="shared" si="22"/>
        <v>0</v>
      </c>
      <c r="L55" s="370">
        <f t="shared" si="15"/>
        <v>0</v>
      </c>
      <c r="Q55" s="175"/>
      <c r="T55" s="175"/>
      <c r="AC55" s="440"/>
      <c r="AE55" s="59"/>
      <c r="AF55" s="59"/>
    </row>
    <row r="56" spans="1:32" ht="15" x14ac:dyDescent="0.25">
      <c r="A56" s="317" t="s">
        <v>1640</v>
      </c>
      <c r="B56" s="351">
        <f>B$24*B47</f>
        <v>0</v>
      </c>
      <c r="C56" s="351">
        <f t="shared" si="22"/>
        <v>0</v>
      </c>
      <c r="D56" s="351">
        <f t="shared" si="22"/>
        <v>0</v>
      </c>
      <c r="E56" s="351">
        <f t="shared" si="22"/>
        <v>0</v>
      </c>
      <c r="F56" s="351">
        <f t="shared" si="22"/>
        <v>0</v>
      </c>
      <c r="G56" s="351">
        <f t="shared" si="22"/>
        <v>0</v>
      </c>
      <c r="H56" s="351">
        <f t="shared" si="22"/>
        <v>0</v>
      </c>
      <c r="I56" s="351">
        <f t="shared" si="22"/>
        <v>0</v>
      </c>
      <c r="J56" s="351">
        <f t="shared" si="22"/>
        <v>0</v>
      </c>
      <c r="K56" s="351">
        <f t="shared" si="22"/>
        <v>0</v>
      </c>
      <c r="L56" s="370">
        <f t="shared" si="15"/>
        <v>0</v>
      </c>
      <c r="Q56" s="175"/>
      <c r="T56" s="175"/>
      <c r="AC56" s="440"/>
      <c r="AE56" s="59"/>
      <c r="AF56" s="59"/>
    </row>
    <row r="57" spans="1:32" ht="15" x14ac:dyDescent="0.25">
      <c r="A57" s="317" t="s">
        <v>1485</v>
      </c>
      <c r="B57" s="351">
        <f>B$24*B48</f>
        <v>0</v>
      </c>
      <c r="C57" s="351">
        <f t="shared" si="22"/>
        <v>0</v>
      </c>
      <c r="D57" s="351">
        <f t="shared" si="22"/>
        <v>0</v>
      </c>
      <c r="E57" s="351">
        <f t="shared" si="22"/>
        <v>0</v>
      </c>
      <c r="F57" s="351">
        <f t="shared" si="22"/>
        <v>0</v>
      </c>
      <c r="G57" s="351">
        <f t="shared" si="22"/>
        <v>0</v>
      </c>
      <c r="H57" s="351">
        <f t="shared" si="22"/>
        <v>0</v>
      </c>
      <c r="I57" s="351">
        <f t="shared" si="22"/>
        <v>0</v>
      </c>
      <c r="J57" s="351">
        <f t="shared" si="22"/>
        <v>0</v>
      </c>
      <c r="K57" s="351">
        <f t="shared" si="22"/>
        <v>0</v>
      </c>
      <c r="L57" s="370">
        <f t="shared" si="15"/>
        <v>0</v>
      </c>
      <c r="P57" s="175"/>
      <c r="Q57" s="166"/>
      <c r="T57" s="166"/>
      <c r="U57" s="175"/>
      <c r="AE57" s="59"/>
      <c r="AF57" s="59"/>
    </row>
    <row r="58" spans="1:32" ht="15" x14ac:dyDescent="0.25">
      <c r="A58" s="317" t="s">
        <v>1486</v>
      </c>
      <c r="B58" s="351">
        <f>B$24*B49</f>
        <v>0</v>
      </c>
      <c r="C58" s="351">
        <f t="shared" si="22"/>
        <v>0</v>
      </c>
      <c r="D58" s="351">
        <f t="shared" si="22"/>
        <v>0</v>
      </c>
      <c r="E58" s="351">
        <f t="shared" si="22"/>
        <v>0</v>
      </c>
      <c r="F58" s="351">
        <f t="shared" si="22"/>
        <v>0</v>
      </c>
      <c r="G58" s="351">
        <f t="shared" si="22"/>
        <v>0</v>
      </c>
      <c r="H58" s="351">
        <f t="shared" si="22"/>
        <v>0</v>
      </c>
      <c r="I58" s="351">
        <f t="shared" si="22"/>
        <v>0</v>
      </c>
      <c r="J58" s="351">
        <f t="shared" si="22"/>
        <v>0</v>
      </c>
      <c r="K58" s="351">
        <f t="shared" si="22"/>
        <v>0</v>
      </c>
      <c r="L58" s="370">
        <f t="shared" si="15"/>
        <v>0</v>
      </c>
      <c r="P58" s="175"/>
      <c r="U58" s="175"/>
      <c r="AC58" s="440"/>
      <c r="AE58" s="59"/>
      <c r="AF58" s="59"/>
    </row>
    <row r="59" spans="1:32" ht="15" x14ac:dyDescent="0.25">
      <c r="A59" s="317"/>
      <c r="B59" s="351"/>
      <c r="C59" s="351"/>
      <c r="D59" s="351"/>
      <c r="E59" s="351"/>
      <c r="F59" s="351"/>
      <c r="G59" s="351"/>
      <c r="H59" s="351"/>
      <c r="I59" s="351"/>
      <c r="J59" s="351"/>
      <c r="K59" s="351"/>
      <c r="L59" s="370">
        <f>SUM(B59:K59)</f>
        <v>0</v>
      </c>
      <c r="P59" s="166"/>
      <c r="U59" s="166"/>
      <c r="AE59" s="59"/>
      <c r="AF59" s="59"/>
    </row>
    <row r="60" spans="1:32" ht="20.25" customHeight="1" x14ac:dyDescent="0.25">
      <c r="A60" s="396" t="s">
        <v>1400</v>
      </c>
      <c r="B60" s="381"/>
      <c r="C60" s="398"/>
      <c r="D60" s="397"/>
      <c r="E60" s="397"/>
      <c r="F60" s="397"/>
      <c r="G60" s="397"/>
      <c r="H60" s="397"/>
      <c r="I60" s="397"/>
      <c r="J60" s="397"/>
      <c r="K60" s="397"/>
      <c r="L60" s="370">
        <f t="shared" ref="L60:L103" si="23">SUM(B60:K60)</f>
        <v>0</v>
      </c>
      <c r="AE60" s="59"/>
      <c r="AF60" s="59"/>
    </row>
    <row r="61" spans="1:32" ht="15.75" customHeight="1" x14ac:dyDescent="0.25">
      <c r="A61" s="317" t="s">
        <v>1481</v>
      </c>
      <c r="B61" s="351" t="e">
        <f>(B43*(1-B24)*B36)</f>
        <v>#DIV/0!</v>
      </c>
      <c r="C61" s="351" t="e">
        <f t="shared" ref="C61:K61" si="24">(C43*(1-C24)*C36)</f>
        <v>#DIV/0!</v>
      </c>
      <c r="D61" s="351" t="e">
        <f t="shared" si="24"/>
        <v>#DIV/0!</v>
      </c>
      <c r="E61" s="351" t="e">
        <f t="shared" si="24"/>
        <v>#DIV/0!</v>
      </c>
      <c r="F61" s="351" t="e">
        <f t="shared" si="24"/>
        <v>#DIV/0!</v>
      </c>
      <c r="G61" s="351" t="e">
        <f t="shared" si="24"/>
        <v>#DIV/0!</v>
      </c>
      <c r="H61" s="351" t="e">
        <f t="shared" si="24"/>
        <v>#DIV/0!</v>
      </c>
      <c r="I61" s="351" t="e">
        <f t="shared" si="24"/>
        <v>#DIV/0!</v>
      </c>
      <c r="J61" s="351" t="e">
        <f t="shared" si="24"/>
        <v>#DIV/0!</v>
      </c>
      <c r="K61" s="351" t="e">
        <f t="shared" si="24"/>
        <v>#DIV/0!</v>
      </c>
      <c r="L61" s="370" t="e">
        <f t="shared" si="23"/>
        <v>#DIV/0!</v>
      </c>
      <c r="AE61" s="59"/>
      <c r="AF61" s="59"/>
    </row>
    <row r="62" spans="1:32" ht="15.75" customHeight="1" x14ac:dyDescent="0.25">
      <c r="A62" s="317" t="s">
        <v>1390</v>
      </c>
      <c r="B62" s="351" t="e">
        <f>B61/6.25</f>
        <v>#DIV/0!</v>
      </c>
      <c r="C62" s="351" t="e">
        <f t="shared" ref="C62:K62" si="25">C61/6.25</f>
        <v>#DIV/0!</v>
      </c>
      <c r="D62" s="351" t="e">
        <f t="shared" si="25"/>
        <v>#DIV/0!</v>
      </c>
      <c r="E62" s="351" t="e">
        <f t="shared" si="25"/>
        <v>#DIV/0!</v>
      </c>
      <c r="F62" s="351" t="e">
        <f t="shared" si="25"/>
        <v>#DIV/0!</v>
      </c>
      <c r="G62" s="351" t="e">
        <f t="shared" si="25"/>
        <v>#DIV/0!</v>
      </c>
      <c r="H62" s="351" t="e">
        <f t="shared" si="25"/>
        <v>#DIV/0!</v>
      </c>
      <c r="I62" s="351" t="e">
        <f t="shared" si="25"/>
        <v>#DIV/0!</v>
      </c>
      <c r="J62" s="351" t="e">
        <f t="shared" si="25"/>
        <v>#DIV/0!</v>
      </c>
      <c r="K62" s="351" t="e">
        <f t="shared" si="25"/>
        <v>#DIV/0!</v>
      </c>
      <c r="L62" s="370" t="e">
        <f t="shared" si="23"/>
        <v>#DIV/0!</v>
      </c>
      <c r="O62" s="264"/>
      <c r="P62" s="264"/>
      <c r="AE62" s="59"/>
      <c r="AF62" s="59"/>
    </row>
    <row r="63" spans="1:32" ht="15.75" customHeight="1" x14ac:dyDescent="0.25">
      <c r="A63" s="317" t="s">
        <v>1482</v>
      </c>
      <c r="B63" s="351" t="e">
        <f>(B45*(1-B24)*B37)</f>
        <v>#DIV/0!</v>
      </c>
      <c r="C63" s="351" t="e">
        <f t="shared" ref="C63:K63" si="26">(C45*(1-C24)*C37)</f>
        <v>#DIV/0!</v>
      </c>
      <c r="D63" s="351" t="e">
        <f t="shared" si="26"/>
        <v>#DIV/0!</v>
      </c>
      <c r="E63" s="351" t="e">
        <f t="shared" si="26"/>
        <v>#DIV/0!</v>
      </c>
      <c r="F63" s="351" t="e">
        <f t="shared" si="26"/>
        <v>#DIV/0!</v>
      </c>
      <c r="G63" s="351" t="e">
        <f t="shared" si="26"/>
        <v>#DIV/0!</v>
      </c>
      <c r="H63" s="351" t="e">
        <f t="shared" si="26"/>
        <v>#DIV/0!</v>
      </c>
      <c r="I63" s="351" t="e">
        <f t="shared" si="26"/>
        <v>#DIV/0!</v>
      </c>
      <c r="J63" s="351" t="e">
        <f t="shared" si="26"/>
        <v>#DIV/0!</v>
      </c>
      <c r="K63" s="351" t="e">
        <f t="shared" si="26"/>
        <v>#DIV/0!</v>
      </c>
      <c r="L63" s="370" t="e">
        <f t="shared" si="23"/>
        <v>#DIV/0!</v>
      </c>
      <c r="P63" s="264"/>
      <c r="AE63" s="59"/>
      <c r="AF63" s="59"/>
    </row>
    <row r="64" spans="1:32" ht="15.75" customHeight="1" x14ac:dyDescent="0.2">
      <c r="A64" s="317" t="s">
        <v>1483</v>
      </c>
      <c r="B64" s="351" t="e">
        <f>(B46*(1-B24)*B38)</f>
        <v>#DIV/0!</v>
      </c>
      <c r="C64" s="351" t="e">
        <f t="shared" ref="C64:K64" si="27">(C46*(1-C24)*C38)</f>
        <v>#DIV/0!</v>
      </c>
      <c r="D64" s="351" t="e">
        <f t="shared" si="27"/>
        <v>#DIV/0!</v>
      </c>
      <c r="E64" s="351" t="e">
        <f t="shared" si="27"/>
        <v>#DIV/0!</v>
      </c>
      <c r="F64" s="351" t="e">
        <f t="shared" si="27"/>
        <v>#DIV/0!</v>
      </c>
      <c r="G64" s="351" t="e">
        <f t="shared" si="27"/>
        <v>#DIV/0!</v>
      </c>
      <c r="H64" s="351" t="e">
        <f t="shared" si="27"/>
        <v>#DIV/0!</v>
      </c>
      <c r="I64" s="351" t="e">
        <f t="shared" si="27"/>
        <v>#DIV/0!</v>
      </c>
      <c r="J64" s="351" t="e">
        <f t="shared" si="27"/>
        <v>#DIV/0!</v>
      </c>
      <c r="K64" s="351" t="e">
        <f t="shared" si="27"/>
        <v>#DIV/0!</v>
      </c>
      <c r="L64" s="370" t="e">
        <f t="shared" si="23"/>
        <v>#DIV/0!</v>
      </c>
    </row>
    <row r="65" spans="1:56" ht="15.75" customHeight="1" x14ac:dyDescent="0.2">
      <c r="A65" s="317" t="s">
        <v>1640</v>
      </c>
      <c r="B65" s="351" t="e">
        <f>(B47*(1-B24)*B39)</f>
        <v>#DIV/0!</v>
      </c>
      <c r="C65" s="351" t="e">
        <f t="shared" ref="C65:K65" si="28">(C47*(1-C24)*C39)</f>
        <v>#DIV/0!</v>
      </c>
      <c r="D65" s="351" t="e">
        <f t="shared" si="28"/>
        <v>#DIV/0!</v>
      </c>
      <c r="E65" s="351" t="e">
        <f t="shared" si="28"/>
        <v>#DIV/0!</v>
      </c>
      <c r="F65" s="351" t="e">
        <f t="shared" si="28"/>
        <v>#DIV/0!</v>
      </c>
      <c r="G65" s="351" t="e">
        <f t="shared" si="28"/>
        <v>#DIV/0!</v>
      </c>
      <c r="H65" s="351" t="e">
        <f t="shared" si="28"/>
        <v>#DIV/0!</v>
      </c>
      <c r="I65" s="351" t="e">
        <f t="shared" si="28"/>
        <v>#DIV/0!</v>
      </c>
      <c r="J65" s="351" t="e">
        <f t="shared" si="28"/>
        <v>#DIV/0!</v>
      </c>
      <c r="K65" s="351" t="e">
        <f t="shared" si="28"/>
        <v>#DIV/0!</v>
      </c>
      <c r="L65" s="370" t="e">
        <f t="shared" si="23"/>
        <v>#DIV/0!</v>
      </c>
    </row>
    <row r="66" spans="1:56" ht="15.75" customHeight="1" x14ac:dyDescent="0.2">
      <c r="A66" s="317" t="s">
        <v>1485</v>
      </c>
      <c r="B66" s="351" t="e">
        <f>(B48*(1-B24)*B40)</f>
        <v>#DIV/0!</v>
      </c>
      <c r="C66" s="351" t="e">
        <f t="shared" ref="C66:K66" si="29">(C48*(1-C24)*C40)</f>
        <v>#DIV/0!</v>
      </c>
      <c r="D66" s="351" t="e">
        <f t="shared" si="29"/>
        <v>#DIV/0!</v>
      </c>
      <c r="E66" s="351" t="e">
        <f t="shared" si="29"/>
        <v>#DIV/0!</v>
      </c>
      <c r="F66" s="351" t="e">
        <f t="shared" si="29"/>
        <v>#DIV/0!</v>
      </c>
      <c r="G66" s="351" t="e">
        <f t="shared" si="29"/>
        <v>#DIV/0!</v>
      </c>
      <c r="H66" s="351" t="e">
        <f t="shared" si="29"/>
        <v>#DIV/0!</v>
      </c>
      <c r="I66" s="351" t="e">
        <f t="shared" si="29"/>
        <v>#DIV/0!</v>
      </c>
      <c r="J66" s="351" t="e">
        <f t="shared" si="29"/>
        <v>#DIV/0!</v>
      </c>
      <c r="K66" s="351" t="e">
        <f t="shared" si="29"/>
        <v>#DIV/0!</v>
      </c>
      <c r="L66" s="370" t="e">
        <f t="shared" si="23"/>
        <v>#DIV/0!</v>
      </c>
    </row>
    <row r="67" spans="1:56" ht="15.75" customHeight="1" x14ac:dyDescent="0.2">
      <c r="A67" s="317" t="s">
        <v>1486</v>
      </c>
      <c r="B67" s="351" t="e">
        <f>(B49*(1-B24)*B41)</f>
        <v>#DIV/0!</v>
      </c>
      <c r="C67" s="351" t="e">
        <f t="shared" ref="C67:K67" si="30">(C49*(1-C24)*C41)</f>
        <v>#DIV/0!</v>
      </c>
      <c r="D67" s="351" t="e">
        <f t="shared" si="30"/>
        <v>#DIV/0!</v>
      </c>
      <c r="E67" s="351" t="e">
        <f t="shared" si="30"/>
        <v>#DIV/0!</v>
      </c>
      <c r="F67" s="351" t="e">
        <f t="shared" si="30"/>
        <v>#DIV/0!</v>
      </c>
      <c r="G67" s="351" t="e">
        <f t="shared" si="30"/>
        <v>#DIV/0!</v>
      </c>
      <c r="H67" s="351" t="e">
        <f t="shared" si="30"/>
        <v>#DIV/0!</v>
      </c>
      <c r="I67" s="351" t="e">
        <f t="shared" si="30"/>
        <v>#DIV/0!</v>
      </c>
      <c r="J67" s="351" t="e">
        <f t="shared" si="30"/>
        <v>#DIV/0!</v>
      </c>
      <c r="K67" s="351" t="e">
        <f t="shared" si="30"/>
        <v>#DIV/0!</v>
      </c>
      <c r="L67" s="370" t="e">
        <f t="shared" si="23"/>
        <v>#DIV/0!</v>
      </c>
    </row>
    <row r="68" spans="1:56" ht="15.75" customHeight="1" x14ac:dyDescent="0.2">
      <c r="A68" s="317"/>
      <c r="B68" s="351" t="e">
        <f>SUM(B61,B63:B67)</f>
        <v>#DIV/0!</v>
      </c>
      <c r="C68" s="351" t="e">
        <f t="shared" ref="C68:K68" si="31">SUM(C61,C63:C67)</f>
        <v>#DIV/0!</v>
      </c>
      <c r="D68" s="351" t="e">
        <f t="shared" si="31"/>
        <v>#DIV/0!</v>
      </c>
      <c r="E68" s="351" t="e">
        <f t="shared" si="31"/>
        <v>#DIV/0!</v>
      </c>
      <c r="F68" s="351" t="e">
        <f t="shared" si="31"/>
        <v>#DIV/0!</v>
      </c>
      <c r="G68" s="351" t="e">
        <f t="shared" si="31"/>
        <v>#DIV/0!</v>
      </c>
      <c r="H68" s="351" t="e">
        <f t="shared" si="31"/>
        <v>#DIV/0!</v>
      </c>
      <c r="I68" s="351" t="e">
        <f t="shared" si="31"/>
        <v>#DIV/0!</v>
      </c>
      <c r="J68" s="351" t="e">
        <f t="shared" si="31"/>
        <v>#DIV/0!</v>
      </c>
      <c r="K68" s="351" t="e">
        <f t="shared" si="31"/>
        <v>#DIV/0!</v>
      </c>
      <c r="L68" s="370" t="e">
        <f t="shared" si="23"/>
        <v>#DIV/0!</v>
      </c>
    </row>
    <row r="69" spans="1:56" x14ac:dyDescent="0.2">
      <c r="A69" s="396" t="s">
        <v>1401</v>
      </c>
      <c r="B69" s="381"/>
      <c r="C69" s="398"/>
      <c r="D69" s="397"/>
      <c r="E69" s="397"/>
      <c r="F69" s="397"/>
      <c r="G69" s="397"/>
      <c r="H69" s="397"/>
      <c r="I69" s="397"/>
      <c r="J69" s="397"/>
      <c r="K69" s="397"/>
      <c r="L69" s="370">
        <f t="shared" si="23"/>
        <v>0</v>
      </c>
    </row>
    <row r="70" spans="1:56" x14ac:dyDescent="0.2">
      <c r="A70" s="317" t="s">
        <v>1402</v>
      </c>
      <c r="B70" s="351" t="e">
        <f>B43-B61-B52</f>
        <v>#DIV/0!</v>
      </c>
      <c r="C70" s="351" t="e">
        <f t="shared" ref="C70:K71" si="32">C43-C61-C52</f>
        <v>#DIV/0!</v>
      </c>
      <c r="D70" s="351" t="e">
        <f t="shared" si="32"/>
        <v>#DIV/0!</v>
      </c>
      <c r="E70" s="351" t="e">
        <f t="shared" si="32"/>
        <v>#DIV/0!</v>
      </c>
      <c r="F70" s="351" t="e">
        <f t="shared" si="32"/>
        <v>#DIV/0!</v>
      </c>
      <c r="G70" s="351" t="e">
        <f t="shared" si="32"/>
        <v>#DIV/0!</v>
      </c>
      <c r="H70" s="351" t="e">
        <f t="shared" si="32"/>
        <v>#DIV/0!</v>
      </c>
      <c r="I70" s="351" t="e">
        <f t="shared" si="32"/>
        <v>#DIV/0!</v>
      </c>
      <c r="J70" s="351" t="e">
        <f t="shared" si="32"/>
        <v>#DIV/0!</v>
      </c>
      <c r="K70" s="351" t="e">
        <f t="shared" si="32"/>
        <v>#DIV/0!</v>
      </c>
      <c r="L70" s="370" t="e">
        <f t="shared" si="23"/>
        <v>#DIV/0!</v>
      </c>
    </row>
    <row r="71" spans="1:56" x14ac:dyDescent="0.2">
      <c r="A71" s="317" t="s">
        <v>1403</v>
      </c>
      <c r="B71" s="351" t="e">
        <f>B44-B62-B53</f>
        <v>#DIV/0!</v>
      </c>
      <c r="C71" s="351" t="e">
        <f t="shared" si="32"/>
        <v>#DIV/0!</v>
      </c>
      <c r="D71" s="351" t="e">
        <f t="shared" si="32"/>
        <v>#DIV/0!</v>
      </c>
      <c r="E71" s="351" t="e">
        <f t="shared" si="32"/>
        <v>#DIV/0!</v>
      </c>
      <c r="F71" s="351" t="e">
        <f t="shared" si="32"/>
        <v>#DIV/0!</v>
      </c>
      <c r="G71" s="351" t="e">
        <f t="shared" si="32"/>
        <v>#DIV/0!</v>
      </c>
      <c r="H71" s="351" t="e">
        <f t="shared" si="32"/>
        <v>#DIV/0!</v>
      </c>
      <c r="I71" s="351" t="e">
        <f t="shared" si="32"/>
        <v>#DIV/0!</v>
      </c>
      <c r="J71" s="351" t="e">
        <f t="shared" si="32"/>
        <v>#DIV/0!</v>
      </c>
      <c r="K71" s="351" t="e">
        <f t="shared" si="32"/>
        <v>#DIV/0!</v>
      </c>
      <c r="L71" s="370" t="e">
        <f t="shared" si="23"/>
        <v>#DIV/0!</v>
      </c>
    </row>
    <row r="72" spans="1:56" x14ac:dyDescent="0.2">
      <c r="A72" s="317" t="s">
        <v>1404</v>
      </c>
      <c r="B72" s="351" t="e">
        <f t="shared" ref="B72:K76" si="33">B45-B63-B54</f>
        <v>#DIV/0!</v>
      </c>
      <c r="C72" s="351" t="e">
        <f t="shared" si="33"/>
        <v>#DIV/0!</v>
      </c>
      <c r="D72" s="351" t="e">
        <f t="shared" si="33"/>
        <v>#DIV/0!</v>
      </c>
      <c r="E72" s="351" t="e">
        <f t="shared" si="33"/>
        <v>#DIV/0!</v>
      </c>
      <c r="F72" s="351" t="e">
        <f t="shared" si="33"/>
        <v>#DIV/0!</v>
      </c>
      <c r="G72" s="351" t="e">
        <f t="shared" si="33"/>
        <v>#DIV/0!</v>
      </c>
      <c r="H72" s="351" t="e">
        <f t="shared" si="33"/>
        <v>#DIV/0!</v>
      </c>
      <c r="I72" s="351" t="e">
        <f t="shared" si="33"/>
        <v>#DIV/0!</v>
      </c>
      <c r="J72" s="351" t="e">
        <f t="shared" si="33"/>
        <v>#DIV/0!</v>
      </c>
      <c r="K72" s="351" t="e">
        <f t="shared" si="33"/>
        <v>#DIV/0!</v>
      </c>
      <c r="L72" s="370" t="e">
        <f t="shared" si="23"/>
        <v>#DIV/0!</v>
      </c>
    </row>
    <row r="73" spans="1:56" x14ac:dyDescent="0.2">
      <c r="A73" s="317" t="s">
        <v>1405</v>
      </c>
      <c r="B73" s="351" t="e">
        <f t="shared" si="33"/>
        <v>#DIV/0!</v>
      </c>
      <c r="C73" s="351" t="e">
        <f t="shared" si="33"/>
        <v>#DIV/0!</v>
      </c>
      <c r="D73" s="351" t="e">
        <f t="shared" si="33"/>
        <v>#DIV/0!</v>
      </c>
      <c r="E73" s="351" t="e">
        <f t="shared" si="33"/>
        <v>#DIV/0!</v>
      </c>
      <c r="F73" s="351" t="e">
        <f t="shared" si="33"/>
        <v>#DIV/0!</v>
      </c>
      <c r="G73" s="351" t="e">
        <f t="shared" si="33"/>
        <v>#DIV/0!</v>
      </c>
      <c r="H73" s="351" t="e">
        <f t="shared" si="33"/>
        <v>#DIV/0!</v>
      </c>
      <c r="I73" s="351" t="e">
        <f t="shared" si="33"/>
        <v>#DIV/0!</v>
      </c>
      <c r="J73" s="351" t="e">
        <f t="shared" si="33"/>
        <v>#DIV/0!</v>
      </c>
      <c r="K73" s="351" t="e">
        <f t="shared" si="33"/>
        <v>#DIV/0!</v>
      </c>
      <c r="L73" s="370" t="e">
        <f t="shared" si="23"/>
        <v>#DIV/0!</v>
      </c>
    </row>
    <row r="74" spans="1:56" x14ac:dyDescent="0.2">
      <c r="A74" s="317" t="s">
        <v>1406</v>
      </c>
      <c r="B74" s="351" t="e">
        <f t="shared" si="33"/>
        <v>#DIV/0!</v>
      </c>
      <c r="C74" s="351" t="e">
        <f t="shared" si="33"/>
        <v>#DIV/0!</v>
      </c>
      <c r="D74" s="351" t="e">
        <f t="shared" si="33"/>
        <v>#DIV/0!</v>
      </c>
      <c r="E74" s="351" t="e">
        <f t="shared" si="33"/>
        <v>#DIV/0!</v>
      </c>
      <c r="F74" s="351" t="e">
        <f t="shared" si="33"/>
        <v>#DIV/0!</v>
      </c>
      <c r="G74" s="351" t="e">
        <f t="shared" si="33"/>
        <v>#DIV/0!</v>
      </c>
      <c r="H74" s="351" t="e">
        <f t="shared" si="33"/>
        <v>#DIV/0!</v>
      </c>
      <c r="I74" s="351" t="e">
        <f t="shared" si="33"/>
        <v>#DIV/0!</v>
      </c>
      <c r="J74" s="351" t="e">
        <f t="shared" si="33"/>
        <v>#DIV/0!</v>
      </c>
      <c r="K74" s="351" t="e">
        <f t="shared" si="33"/>
        <v>#DIV/0!</v>
      </c>
      <c r="L74" s="370" t="e">
        <f t="shared" si="23"/>
        <v>#DIV/0!</v>
      </c>
    </row>
    <row r="75" spans="1:56" x14ac:dyDescent="0.2">
      <c r="A75" s="317" t="s">
        <v>1407</v>
      </c>
      <c r="B75" s="351" t="e">
        <f t="shared" si="33"/>
        <v>#DIV/0!</v>
      </c>
      <c r="C75" s="351" t="e">
        <f t="shared" si="33"/>
        <v>#DIV/0!</v>
      </c>
      <c r="D75" s="351" t="e">
        <f t="shared" si="33"/>
        <v>#DIV/0!</v>
      </c>
      <c r="E75" s="351" t="e">
        <f t="shared" si="33"/>
        <v>#DIV/0!</v>
      </c>
      <c r="F75" s="351" t="e">
        <f t="shared" si="33"/>
        <v>#DIV/0!</v>
      </c>
      <c r="G75" s="351" t="e">
        <f t="shared" si="33"/>
        <v>#DIV/0!</v>
      </c>
      <c r="H75" s="351" t="e">
        <f t="shared" si="33"/>
        <v>#DIV/0!</v>
      </c>
      <c r="I75" s="351" t="e">
        <f t="shared" si="33"/>
        <v>#DIV/0!</v>
      </c>
      <c r="J75" s="351" t="e">
        <f t="shared" si="33"/>
        <v>#DIV/0!</v>
      </c>
      <c r="K75" s="351" t="e">
        <f t="shared" si="33"/>
        <v>#DIV/0!</v>
      </c>
      <c r="L75" s="370" t="e">
        <f t="shared" si="23"/>
        <v>#DIV/0!</v>
      </c>
      <c r="Q75" s="441"/>
      <c r="R75" s="441"/>
      <c r="S75" s="441"/>
      <c r="T75" s="441"/>
      <c r="AQ75" s="441"/>
      <c r="AS75" s="441"/>
      <c r="AT75" s="441"/>
      <c r="AU75" s="441"/>
      <c r="AV75" s="441"/>
      <c r="AW75" s="441"/>
      <c r="AX75" s="441"/>
      <c r="AY75" s="441"/>
      <c r="AZ75" s="441"/>
    </row>
    <row r="76" spans="1:56" x14ac:dyDescent="0.2">
      <c r="A76" s="317" t="s">
        <v>1408</v>
      </c>
      <c r="B76" s="351" t="e">
        <f t="shared" si="33"/>
        <v>#DIV/0!</v>
      </c>
      <c r="C76" s="351" t="e">
        <f t="shared" si="33"/>
        <v>#DIV/0!</v>
      </c>
      <c r="D76" s="351" t="e">
        <f t="shared" si="33"/>
        <v>#DIV/0!</v>
      </c>
      <c r="E76" s="351" t="e">
        <f t="shared" si="33"/>
        <v>#DIV/0!</v>
      </c>
      <c r="F76" s="351" t="e">
        <f t="shared" si="33"/>
        <v>#DIV/0!</v>
      </c>
      <c r="G76" s="351" t="e">
        <f t="shared" si="33"/>
        <v>#DIV/0!</v>
      </c>
      <c r="H76" s="351" t="e">
        <f t="shared" si="33"/>
        <v>#DIV/0!</v>
      </c>
      <c r="I76" s="351" t="e">
        <f t="shared" si="33"/>
        <v>#DIV/0!</v>
      </c>
      <c r="J76" s="351" t="e">
        <f t="shared" si="33"/>
        <v>#DIV/0!</v>
      </c>
      <c r="K76" s="351" t="e">
        <f t="shared" si="33"/>
        <v>#DIV/0!</v>
      </c>
      <c r="L76" s="370" t="e">
        <f t="shared" si="23"/>
        <v>#DIV/0!</v>
      </c>
      <c r="N76" s="441"/>
      <c r="O76" s="441"/>
      <c r="P76" s="441"/>
    </row>
    <row r="77" spans="1:56" x14ac:dyDescent="0.2">
      <c r="A77" s="317"/>
      <c r="B77" s="351" t="e">
        <f>SUM(B70,B72:B76)</f>
        <v>#DIV/0!</v>
      </c>
      <c r="C77" s="351" t="e">
        <f t="shared" ref="C77:K77" si="34">SUM(C70,C72:C76)</f>
        <v>#DIV/0!</v>
      </c>
      <c r="D77" s="351" t="e">
        <f t="shared" si="34"/>
        <v>#DIV/0!</v>
      </c>
      <c r="E77" s="351" t="e">
        <f t="shared" si="34"/>
        <v>#DIV/0!</v>
      </c>
      <c r="F77" s="351" t="e">
        <f t="shared" si="34"/>
        <v>#DIV/0!</v>
      </c>
      <c r="G77" s="351" t="e">
        <f t="shared" si="34"/>
        <v>#DIV/0!</v>
      </c>
      <c r="H77" s="351" t="e">
        <f t="shared" si="34"/>
        <v>#DIV/0!</v>
      </c>
      <c r="I77" s="351" t="e">
        <f t="shared" si="34"/>
        <v>#DIV/0!</v>
      </c>
      <c r="J77" s="351" t="e">
        <f t="shared" si="34"/>
        <v>#DIV/0!</v>
      </c>
      <c r="K77" s="351" t="e">
        <f t="shared" si="34"/>
        <v>#DIV/0!</v>
      </c>
      <c r="L77" s="370" t="e">
        <f t="shared" si="23"/>
        <v>#DIV/0!</v>
      </c>
      <c r="U77" s="441"/>
      <c r="AP77" s="441"/>
      <c r="BA77" s="441"/>
      <c r="BB77" s="441"/>
      <c r="BC77" s="441"/>
      <c r="BD77" s="441"/>
    </row>
    <row r="78" spans="1:56" s="441" customFormat="1" x14ac:dyDescent="0.2">
      <c r="A78" s="396" t="s">
        <v>1409</v>
      </c>
      <c r="B78" s="381"/>
      <c r="C78" s="397"/>
      <c r="D78" s="397"/>
      <c r="E78" s="397"/>
      <c r="F78" s="397"/>
      <c r="G78" s="397"/>
      <c r="H78" s="397"/>
      <c r="I78" s="397"/>
      <c r="J78" s="397"/>
      <c r="K78" s="397"/>
      <c r="L78" s="370">
        <f t="shared" si="23"/>
        <v>0</v>
      </c>
      <c r="N78" s="165"/>
      <c r="O78" s="165"/>
      <c r="P78" s="165"/>
      <c r="Q78" s="165"/>
      <c r="R78" s="165"/>
      <c r="S78" s="165"/>
      <c r="T78" s="165"/>
      <c r="U78" s="165"/>
      <c r="W78" s="165"/>
      <c r="X78" s="165"/>
      <c r="Y78" s="165"/>
      <c r="Z78" s="165"/>
      <c r="AA78" s="165"/>
      <c r="AB78" s="165"/>
      <c r="AC78" s="165"/>
      <c r="AD78" s="165"/>
      <c r="AE78" s="165"/>
      <c r="AF78" s="165"/>
      <c r="AG78" s="165"/>
      <c r="AH78" s="165"/>
      <c r="AI78" s="165"/>
      <c r="AJ78" s="165"/>
      <c r="AK78" s="165"/>
      <c r="AL78" s="165"/>
      <c r="AM78" s="165"/>
      <c r="AN78" s="165"/>
      <c r="AO78" s="165"/>
      <c r="AP78" s="165"/>
      <c r="AQ78" s="165"/>
      <c r="AR78" s="167"/>
      <c r="AS78" s="165"/>
      <c r="AT78" s="165"/>
      <c r="AU78" s="165"/>
      <c r="AV78" s="165"/>
      <c r="AW78" s="165"/>
      <c r="AX78" s="165"/>
      <c r="AY78" s="165"/>
      <c r="AZ78" s="165"/>
      <c r="BA78" s="165"/>
      <c r="BB78" s="165"/>
      <c r="BC78" s="165"/>
      <c r="BD78" s="165"/>
    </row>
    <row r="79" spans="1:56" x14ac:dyDescent="0.2">
      <c r="A79" s="317" t="str">
        <f>A70</f>
        <v>from proteins</v>
      </c>
      <c r="B79" s="351" t="e">
        <f>B52+B70</f>
        <v>#DIV/0!</v>
      </c>
      <c r="C79" s="351" t="e">
        <f t="shared" ref="C79:K79" si="35">C52+C70</f>
        <v>#DIV/0!</v>
      </c>
      <c r="D79" s="351" t="e">
        <f t="shared" si="35"/>
        <v>#DIV/0!</v>
      </c>
      <c r="E79" s="351" t="e">
        <f t="shared" si="35"/>
        <v>#DIV/0!</v>
      </c>
      <c r="F79" s="351" t="e">
        <f t="shared" si="35"/>
        <v>#DIV/0!</v>
      </c>
      <c r="G79" s="351" t="e">
        <f t="shared" si="35"/>
        <v>#DIV/0!</v>
      </c>
      <c r="H79" s="351" t="e">
        <f t="shared" si="35"/>
        <v>#DIV/0!</v>
      </c>
      <c r="I79" s="351" t="e">
        <f t="shared" si="35"/>
        <v>#DIV/0!</v>
      </c>
      <c r="J79" s="351" t="e">
        <f t="shared" si="35"/>
        <v>#DIV/0!</v>
      </c>
      <c r="K79" s="351" t="e">
        <f t="shared" si="35"/>
        <v>#DIV/0!</v>
      </c>
      <c r="L79" s="370" t="e">
        <f t="shared" si="23"/>
        <v>#DIV/0!</v>
      </c>
    </row>
    <row r="80" spans="1:56" x14ac:dyDescent="0.2">
      <c r="A80" s="317" t="str">
        <f t="shared" ref="A80:A85" si="36">A71</f>
        <v>Rejected N rejeté from protein</v>
      </c>
      <c r="B80" s="351"/>
      <c r="C80" s="351"/>
      <c r="D80" s="351"/>
      <c r="E80" s="351"/>
      <c r="F80" s="351"/>
      <c r="G80" s="351"/>
      <c r="H80" s="351"/>
      <c r="I80" s="351"/>
      <c r="J80" s="351"/>
      <c r="K80" s="351"/>
      <c r="L80" s="370">
        <f t="shared" si="23"/>
        <v>0</v>
      </c>
    </row>
    <row r="81" spans="1:56" x14ac:dyDescent="0.2">
      <c r="A81" s="317" t="str">
        <f t="shared" si="36"/>
        <v>from lipids</v>
      </c>
      <c r="B81" s="351" t="e">
        <f>B54+B72</f>
        <v>#DIV/0!</v>
      </c>
      <c r="C81" s="351" t="e">
        <f t="shared" ref="C81:K85" si="37">C54+C72</f>
        <v>#DIV/0!</v>
      </c>
      <c r="D81" s="351" t="e">
        <f t="shared" si="37"/>
        <v>#DIV/0!</v>
      </c>
      <c r="E81" s="351" t="e">
        <f t="shared" si="37"/>
        <v>#DIV/0!</v>
      </c>
      <c r="F81" s="351" t="e">
        <f t="shared" si="37"/>
        <v>#DIV/0!</v>
      </c>
      <c r="G81" s="351" t="e">
        <f t="shared" si="37"/>
        <v>#DIV/0!</v>
      </c>
      <c r="H81" s="351" t="e">
        <f t="shared" si="37"/>
        <v>#DIV/0!</v>
      </c>
      <c r="I81" s="351" t="e">
        <f t="shared" si="37"/>
        <v>#DIV/0!</v>
      </c>
      <c r="J81" s="351" t="e">
        <f t="shared" si="37"/>
        <v>#DIV/0!</v>
      </c>
      <c r="K81" s="351" t="e">
        <f t="shared" si="37"/>
        <v>#DIV/0!</v>
      </c>
      <c r="L81" s="370" t="e">
        <f t="shared" si="23"/>
        <v>#DIV/0!</v>
      </c>
    </row>
    <row r="82" spans="1:56" x14ac:dyDescent="0.2">
      <c r="A82" s="317" t="str">
        <f t="shared" si="36"/>
        <v>from carbohydrates</v>
      </c>
      <c r="B82" s="351" t="e">
        <f>B55+B73</f>
        <v>#DIV/0!</v>
      </c>
      <c r="C82" s="351" t="e">
        <f t="shared" si="37"/>
        <v>#DIV/0!</v>
      </c>
      <c r="D82" s="351" t="e">
        <f t="shared" si="37"/>
        <v>#DIV/0!</v>
      </c>
      <c r="E82" s="351" t="e">
        <f t="shared" si="37"/>
        <v>#DIV/0!</v>
      </c>
      <c r="F82" s="351" t="e">
        <f t="shared" si="37"/>
        <v>#DIV/0!</v>
      </c>
      <c r="G82" s="351" t="e">
        <f t="shared" si="37"/>
        <v>#DIV/0!</v>
      </c>
      <c r="H82" s="351" t="e">
        <f t="shared" si="37"/>
        <v>#DIV/0!</v>
      </c>
      <c r="I82" s="351" t="e">
        <f t="shared" si="37"/>
        <v>#DIV/0!</v>
      </c>
      <c r="J82" s="351" t="e">
        <f t="shared" si="37"/>
        <v>#DIV/0!</v>
      </c>
      <c r="K82" s="351" t="e">
        <f t="shared" si="37"/>
        <v>#DIV/0!</v>
      </c>
      <c r="L82" s="370" t="e">
        <f t="shared" si="23"/>
        <v>#DIV/0!</v>
      </c>
    </row>
    <row r="83" spans="1:56" x14ac:dyDescent="0.2">
      <c r="A83" s="317" t="str">
        <f t="shared" si="36"/>
        <v>from Fibres</v>
      </c>
      <c r="B83" s="351" t="e">
        <f>B56+B74</f>
        <v>#DIV/0!</v>
      </c>
      <c r="C83" s="351" t="e">
        <f t="shared" si="37"/>
        <v>#DIV/0!</v>
      </c>
      <c r="D83" s="351" t="e">
        <f t="shared" si="37"/>
        <v>#DIV/0!</v>
      </c>
      <c r="E83" s="351" t="e">
        <f t="shared" si="37"/>
        <v>#DIV/0!</v>
      </c>
      <c r="F83" s="351" t="e">
        <f t="shared" si="37"/>
        <v>#DIV/0!</v>
      </c>
      <c r="G83" s="351" t="e">
        <f t="shared" si="37"/>
        <v>#DIV/0!</v>
      </c>
      <c r="H83" s="351" t="e">
        <f t="shared" si="37"/>
        <v>#DIV/0!</v>
      </c>
      <c r="I83" s="351" t="e">
        <f t="shared" si="37"/>
        <v>#DIV/0!</v>
      </c>
      <c r="J83" s="351" t="e">
        <f t="shared" si="37"/>
        <v>#DIV/0!</v>
      </c>
      <c r="K83" s="351" t="e">
        <f t="shared" si="37"/>
        <v>#DIV/0!</v>
      </c>
      <c r="L83" s="370" t="e">
        <f t="shared" si="23"/>
        <v>#DIV/0!</v>
      </c>
    </row>
    <row r="84" spans="1:56" x14ac:dyDescent="0.2">
      <c r="A84" s="317" t="str">
        <f t="shared" si="36"/>
        <v>from ashes</v>
      </c>
      <c r="B84" s="351" t="e">
        <f>B57+B75</f>
        <v>#DIV/0!</v>
      </c>
      <c r="C84" s="351" t="e">
        <f t="shared" si="37"/>
        <v>#DIV/0!</v>
      </c>
      <c r="D84" s="351" t="e">
        <f t="shared" si="37"/>
        <v>#DIV/0!</v>
      </c>
      <c r="E84" s="351" t="e">
        <f t="shared" si="37"/>
        <v>#DIV/0!</v>
      </c>
      <c r="F84" s="351" t="e">
        <f t="shared" si="37"/>
        <v>#DIV/0!</v>
      </c>
      <c r="G84" s="351" t="e">
        <f t="shared" si="37"/>
        <v>#DIV/0!</v>
      </c>
      <c r="H84" s="351" t="e">
        <f t="shared" si="37"/>
        <v>#DIV/0!</v>
      </c>
      <c r="I84" s="351" t="e">
        <f t="shared" si="37"/>
        <v>#DIV/0!</v>
      </c>
      <c r="J84" s="351" t="e">
        <f t="shared" si="37"/>
        <v>#DIV/0!</v>
      </c>
      <c r="K84" s="351" t="e">
        <f t="shared" si="37"/>
        <v>#DIV/0!</v>
      </c>
      <c r="L84" s="370" t="e">
        <f t="shared" si="23"/>
        <v>#DIV/0!</v>
      </c>
      <c r="Q84" s="441"/>
      <c r="R84" s="441"/>
      <c r="S84" s="441"/>
      <c r="T84" s="441"/>
      <c r="AQ84" s="441"/>
      <c r="AS84" s="441"/>
      <c r="AT84" s="441"/>
      <c r="AU84" s="441"/>
      <c r="AV84" s="441"/>
      <c r="AW84" s="441"/>
      <c r="AX84" s="441"/>
      <c r="AY84" s="441"/>
      <c r="AZ84" s="441"/>
    </row>
    <row r="85" spans="1:56" x14ac:dyDescent="0.2">
      <c r="A85" s="317" t="str">
        <f t="shared" si="36"/>
        <v>from P</v>
      </c>
      <c r="B85" s="351" t="e">
        <f>B58+B76</f>
        <v>#DIV/0!</v>
      </c>
      <c r="C85" s="351" t="e">
        <f t="shared" si="37"/>
        <v>#DIV/0!</v>
      </c>
      <c r="D85" s="351" t="e">
        <f t="shared" si="37"/>
        <v>#DIV/0!</v>
      </c>
      <c r="E85" s="351" t="e">
        <f t="shared" si="37"/>
        <v>#DIV/0!</v>
      </c>
      <c r="F85" s="351" t="e">
        <f t="shared" si="37"/>
        <v>#DIV/0!</v>
      </c>
      <c r="G85" s="351" t="e">
        <f t="shared" si="37"/>
        <v>#DIV/0!</v>
      </c>
      <c r="H85" s="351" t="e">
        <f t="shared" si="37"/>
        <v>#DIV/0!</v>
      </c>
      <c r="I85" s="351" t="e">
        <f t="shared" si="37"/>
        <v>#DIV/0!</v>
      </c>
      <c r="J85" s="351" t="e">
        <f t="shared" si="37"/>
        <v>#DIV/0!</v>
      </c>
      <c r="K85" s="351" t="e">
        <f t="shared" si="37"/>
        <v>#DIV/0!</v>
      </c>
      <c r="L85" s="370" t="e">
        <f t="shared" si="23"/>
        <v>#DIV/0!</v>
      </c>
      <c r="N85" s="441"/>
      <c r="O85" s="441"/>
      <c r="P85" s="441"/>
    </row>
    <row r="86" spans="1:56" x14ac:dyDescent="0.2">
      <c r="A86" s="317"/>
      <c r="B86" s="442" t="e">
        <f>SUM(B79:B85)</f>
        <v>#DIV/0!</v>
      </c>
      <c r="C86" s="442" t="e">
        <f t="shared" ref="C86:K86" si="38">SUM(C79:C85)</f>
        <v>#DIV/0!</v>
      </c>
      <c r="D86" s="442" t="e">
        <f t="shared" si="38"/>
        <v>#DIV/0!</v>
      </c>
      <c r="E86" s="442" t="e">
        <f t="shared" si="38"/>
        <v>#DIV/0!</v>
      </c>
      <c r="F86" s="442" t="e">
        <f t="shared" si="38"/>
        <v>#DIV/0!</v>
      </c>
      <c r="G86" s="442" t="e">
        <f t="shared" si="38"/>
        <v>#DIV/0!</v>
      </c>
      <c r="H86" s="442" t="e">
        <f t="shared" si="38"/>
        <v>#DIV/0!</v>
      </c>
      <c r="I86" s="442" t="e">
        <f t="shared" si="38"/>
        <v>#DIV/0!</v>
      </c>
      <c r="J86" s="442" t="e">
        <f t="shared" si="38"/>
        <v>#DIV/0!</v>
      </c>
      <c r="K86" s="442" t="e">
        <f t="shared" si="38"/>
        <v>#DIV/0!</v>
      </c>
      <c r="L86" s="370" t="e">
        <f t="shared" si="23"/>
        <v>#DIV/0!</v>
      </c>
      <c r="U86" s="441"/>
      <c r="AP86" s="441"/>
      <c r="BA86" s="441"/>
      <c r="BB86" s="441"/>
      <c r="BC86" s="441"/>
      <c r="BD86" s="441"/>
    </row>
    <row r="87" spans="1:56" s="441" customFormat="1" x14ac:dyDescent="0.2">
      <c r="A87" s="380" t="s">
        <v>1410</v>
      </c>
      <c r="B87" s="381"/>
      <c r="C87" s="381"/>
      <c r="D87" s="381"/>
      <c r="E87" s="381"/>
      <c r="F87" s="381"/>
      <c r="G87" s="381"/>
      <c r="H87" s="381"/>
      <c r="I87" s="381"/>
      <c r="J87" s="381"/>
      <c r="K87" s="381"/>
      <c r="L87" s="370">
        <f t="shared" si="23"/>
        <v>0</v>
      </c>
      <c r="N87" s="165"/>
      <c r="O87" s="165"/>
      <c r="P87" s="165"/>
      <c r="Q87" s="165"/>
      <c r="R87" s="165"/>
      <c r="S87" s="165"/>
      <c r="T87" s="165"/>
      <c r="U87" s="165"/>
      <c r="W87" s="165"/>
      <c r="X87" s="165"/>
      <c r="Y87" s="165"/>
      <c r="Z87" s="165"/>
      <c r="AA87" s="165"/>
      <c r="AB87" s="165"/>
      <c r="AC87" s="165"/>
      <c r="AD87" s="165"/>
      <c r="AE87" s="165"/>
      <c r="AF87" s="165"/>
      <c r="AG87" s="165"/>
      <c r="AH87" s="165"/>
      <c r="AI87" s="165"/>
      <c r="AJ87" s="165"/>
      <c r="AK87" s="165"/>
      <c r="AL87" s="165"/>
      <c r="AM87" s="165"/>
      <c r="AN87" s="165"/>
      <c r="AO87" s="165"/>
      <c r="AP87" s="165"/>
      <c r="AQ87" s="165"/>
      <c r="AR87" s="167"/>
      <c r="AS87" s="165"/>
      <c r="AT87" s="165"/>
      <c r="AU87" s="165"/>
      <c r="AV87" s="165"/>
      <c r="AW87" s="165"/>
      <c r="AX87" s="165"/>
      <c r="AY87" s="165"/>
      <c r="AZ87" s="165"/>
      <c r="BA87" s="165"/>
      <c r="BB87" s="165"/>
      <c r="BC87" s="165"/>
      <c r="BD87" s="165"/>
    </row>
    <row r="88" spans="1:56" x14ac:dyDescent="0.2">
      <c r="A88" s="317" t="str">
        <f>A79</f>
        <v>from proteins</v>
      </c>
      <c r="B88" s="351" t="e">
        <f>B79*(1-$B$2)</f>
        <v>#DIV/0!</v>
      </c>
      <c r="C88" s="351" t="e">
        <f t="shared" ref="C88:K88" si="39">C79*(1-$B$2)</f>
        <v>#DIV/0!</v>
      </c>
      <c r="D88" s="351" t="e">
        <f t="shared" si="39"/>
        <v>#DIV/0!</v>
      </c>
      <c r="E88" s="351" t="e">
        <f t="shared" si="39"/>
        <v>#DIV/0!</v>
      </c>
      <c r="F88" s="351" t="e">
        <f t="shared" si="39"/>
        <v>#DIV/0!</v>
      </c>
      <c r="G88" s="351" t="e">
        <f t="shared" si="39"/>
        <v>#DIV/0!</v>
      </c>
      <c r="H88" s="351" t="e">
        <f t="shared" si="39"/>
        <v>#DIV/0!</v>
      </c>
      <c r="I88" s="351" t="e">
        <f t="shared" si="39"/>
        <v>#DIV/0!</v>
      </c>
      <c r="J88" s="351" t="e">
        <f t="shared" si="39"/>
        <v>#DIV/0!</v>
      </c>
      <c r="K88" s="351" t="e">
        <f t="shared" si="39"/>
        <v>#DIV/0!</v>
      </c>
      <c r="L88" s="370" t="e">
        <f t="shared" si="23"/>
        <v>#DIV/0!</v>
      </c>
    </row>
    <row r="89" spans="1:56" x14ac:dyDescent="0.2">
      <c r="A89" s="317" t="str">
        <f t="shared" ref="A89:A94" si="40">A80</f>
        <v>Rejected N rejeté from protein</v>
      </c>
      <c r="B89" s="351"/>
      <c r="C89" s="351"/>
      <c r="D89" s="351"/>
      <c r="E89" s="351"/>
      <c r="F89" s="351"/>
      <c r="G89" s="351"/>
      <c r="H89" s="351"/>
      <c r="I89" s="351"/>
      <c r="J89" s="351"/>
      <c r="K89" s="351"/>
      <c r="L89" s="370">
        <f t="shared" si="23"/>
        <v>0</v>
      </c>
    </row>
    <row r="90" spans="1:56" x14ac:dyDescent="0.2">
      <c r="A90" s="317" t="str">
        <f t="shared" si="40"/>
        <v>from lipids</v>
      </c>
      <c r="B90" s="351" t="e">
        <f>B81*(1-$B$2)</f>
        <v>#DIV/0!</v>
      </c>
      <c r="C90" s="351" t="e">
        <f t="shared" ref="C90:K90" si="41">C81*(1-$B$2)</f>
        <v>#DIV/0!</v>
      </c>
      <c r="D90" s="351" t="e">
        <f t="shared" si="41"/>
        <v>#DIV/0!</v>
      </c>
      <c r="E90" s="351" t="e">
        <f t="shared" si="41"/>
        <v>#DIV/0!</v>
      </c>
      <c r="F90" s="351" t="e">
        <f t="shared" si="41"/>
        <v>#DIV/0!</v>
      </c>
      <c r="G90" s="351" t="e">
        <f t="shared" si="41"/>
        <v>#DIV/0!</v>
      </c>
      <c r="H90" s="351" t="e">
        <f t="shared" si="41"/>
        <v>#DIV/0!</v>
      </c>
      <c r="I90" s="351" t="e">
        <f t="shared" si="41"/>
        <v>#DIV/0!</v>
      </c>
      <c r="J90" s="351" t="e">
        <f t="shared" si="41"/>
        <v>#DIV/0!</v>
      </c>
      <c r="K90" s="351" t="e">
        <f t="shared" si="41"/>
        <v>#DIV/0!</v>
      </c>
      <c r="L90" s="370" t="e">
        <f t="shared" si="23"/>
        <v>#DIV/0!</v>
      </c>
    </row>
    <row r="91" spans="1:56" x14ac:dyDescent="0.2">
      <c r="A91" s="317" t="str">
        <f t="shared" si="40"/>
        <v>from carbohydrates</v>
      </c>
      <c r="B91" s="351" t="e">
        <f t="shared" ref="B91:K94" si="42">B82*(1-$B$2)</f>
        <v>#DIV/0!</v>
      </c>
      <c r="C91" s="351" t="e">
        <f t="shared" si="42"/>
        <v>#DIV/0!</v>
      </c>
      <c r="D91" s="351" t="e">
        <f t="shared" si="42"/>
        <v>#DIV/0!</v>
      </c>
      <c r="E91" s="351" t="e">
        <f t="shared" si="42"/>
        <v>#DIV/0!</v>
      </c>
      <c r="F91" s="351" t="e">
        <f t="shared" si="42"/>
        <v>#DIV/0!</v>
      </c>
      <c r="G91" s="351" t="e">
        <f t="shared" si="42"/>
        <v>#DIV/0!</v>
      </c>
      <c r="H91" s="351" t="e">
        <f t="shared" si="42"/>
        <v>#DIV/0!</v>
      </c>
      <c r="I91" s="351" t="e">
        <f t="shared" si="42"/>
        <v>#DIV/0!</v>
      </c>
      <c r="J91" s="351" t="e">
        <f t="shared" si="42"/>
        <v>#DIV/0!</v>
      </c>
      <c r="K91" s="351" t="e">
        <f t="shared" si="42"/>
        <v>#DIV/0!</v>
      </c>
      <c r="L91" s="370" t="e">
        <f>SUM(B91:K91)</f>
        <v>#DIV/0!</v>
      </c>
    </row>
    <row r="92" spans="1:56" x14ac:dyDescent="0.2">
      <c r="A92" s="317" t="str">
        <f t="shared" si="40"/>
        <v>from Fibres</v>
      </c>
      <c r="B92" s="351" t="e">
        <f t="shared" si="42"/>
        <v>#DIV/0!</v>
      </c>
      <c r="C92" s="351" t="e">
        <f t="shared" si="42"/>
        <v>#DIV/0!</v>
      </c>
      <c r="D92" s="351" t="e">
        <f t="shared" si="42"/>
        <v>#DIV/0!</v>
      </c>
      <c r="E92" s="351" t="e">
        <f t="shared" si="42"/>
        <v>#DIV/0!</v>
      </c>
      <c r="F92" s="351" t="e">
        <f t="shared" si="42"/>
        <v>#DIV/0!</v>
      </c>
      <c r="G92" s="351" t="e">
        <f t="shared" si="42"/>
        <v>#DIV/0!</v>
      </c>
      <c r="H92" s="351" t="e">
        <f t="shared" si="42"/>
        <v>#DIV/0!</v>
      </c>
      <c r="I92" s="351" t="e">
        <f t="shared" si="42"/>
        <v>#DIV/0!</v>
      </c>
      <c r="J92" s="351" t="e">
        <f t="shared" si="42"/>
        <v>#DIV/0!</v>
      </c>
      <c r="K92" s="351" t="e">
        <f t="shared" si="42"/>
        <v>#DIV/0!</v>
      </c>
      <c r="L92" s="370" t="e">
        <f t="shared" si="23"/>
        <v>#DIV/0!</v>
      </c>
    </row>
    <row r="93" spans="1:56" x14ac:dyDescent="0.2">
      <c r="A93" s="317" t="str">
        <f t="shared" si="40"/>
        <v>from ashes</v>
      </c>
      <c r="B93" s="351" t="e">
        <f t="shared" si="42"/>
        <v>#DIV/0!</v>
      </c>
      <c r="C93" s="351" t="e">
        <f t="shared" si="42"/>
        <v>#DIV/0!</v>
      </c>
      <c r="D93" s="351" t="e">
        <f t="shared" si="42"/>
        <v>#DIV/0!</v>
      </c>
      <c r="E93" s="351" t="e">
        <f t="shared" si="42"/>
        <v>#DIV/0!</v>
      </c>
      <c r="F93" s="351" t="e">
        <f t="shared" si="42"/>
        <v>#DIV/0!</v>
      </c>
      <c r="G93" s="351" t="e">
        <f t="shared" si="42"/>
        <v>#DIV/0!</v>
      </c>
      <c r="H93" s="351" t="e">
        <f t="shared" si="42"/>
        <v>#DIV/0!</v>
      </c>
      <c r="I93" s="351" t="e">
        <f t="shared" si="42"/>
        <v>#DIV/0!</v>
      </c>
      <c r="J93" s="351" t="e">
        <f t="shared" si="42"/>
        <v>#DIV/0!</v>
      </c>
      <c r="K93" s="351" t="e">
        <f t="shared" si="42"/>
        <v>#DIV/0!</v>
      </c>
      <c r="L93" s="370" t="e">
        <f t="shared" si="23"/>
        <v>#DIV/0!</v>
      </c>
      <c r="Q93" s="441"/>
      <c r="R93" s="441"/>
      <c r="S93" s="441"/>
      <c r="T93" s="441"/>
      <c r="AQ93" s="441"/>
      <c r="AS93" s="441"/>
      <c r="AT93" s="441"/>
      <c r="AU93" s="441"/>
      <c r="AV93" s="441"/>
      <c r="AW93" s="441"/>
      <c r="AX93" s="441"/>
      <c r="AY93" s="441"/>
      <c r="AZ93" s="441"/>
    </row>
    <row r="94" spans="1:56" x14ac:dyDescent="0.2">
      <c r="A94" s="317" t="str">
        <f t="shared" si="40"/>
        <v>from P</v>
      </c>
      <c r="B94" s="351" t="e">
        <f t="shared" si="42"/>
        <v>#DIV/0!</v>
      </c>
      <c r="C94" s="351" t="e">
        <f t="shared" si="42"/>
        <v>#DIV/0!</v>
      </c>
      <c r="D94" s="351" t="e">
        <f t="shared" si="42"/>
        <v>#DIV/0!</v>
      </c>
      <c r="E94" s="351" t="e">
        <f t="shared" si="42"/>
        <v>#DIV/0!</v>
      </c>
      <c r="F94" s="351" t="e">
        <f t="shared" si="42"/>
        <v>#DIV/0!</v>
      </c>
      <c r="G94" s="351" t="e">
        <f t="shared" si="42"/>
        <v>#DIV/0!</v>
      </c>
      <c r="H94" s="351" t="e">
        <f t="shared" si="42"/>
        <v>#DIV/0!</v>
      </c>
      <c r="I94" s="351" t="e">
        <f t="shared" si="42"/>
        <v>#DIV/0!</v>
      </c>
      <c r="J94" s="351" t="e">
        <f t="shared" si="42"/>
        <v>#DIV/0!</v>
      </c>
      <c r="K94" s="351" t="e">
        <f t="shared" si="42"/>
        <v>#DIV/0!</v>
      </c>
      <c r="L94" s="370" t="e">
        <f t="shared" si="23"/>
        <v>#DIV/0!</v>
      </c>
      <c r="N94" s="441"/>
      <c r="O94" s="441"/>
      <c r="P94" s="441"/>
    </row>
    <row r="95" spans="1:56" x14ac:dyDescent="0.2">
      <c r="A95" s="317"/>
      <c r="B95" s="442" t="e">
        <f>SUM(B88:B94)</f>
        <v>#DIV/0!</v>
      </c>
      <c r="C95" s="442" t="e">
        <f t="shared" ref="C95:K95" si="43">SUM(C88:C94)</f>
        <v>#DIV/0!</v>
      </c>
      <c r="D95" s="442" t="e">
        <f t="shared" si="43"/>
        <v>#DIV/0!</v>
      </c>
      <c r="E95" s="442" t="e">
        <f t="shared" si="43"/>
        <v>#DIV/0!</v>
      </c>
      <c r="F95" s="442" t="e">
        <f t="shared" si="43"/>
        <v>#DIV/0!</v>
      </c>
      <c r="G95" s="442" t="e">
        <f t="shared" si="43"/>
        <v>#DIV/0!</v>
      </c>
      <c r="H95" s="442" t="e">
        <f t="shared" si="43"/>
        <v>#DIV/0!</v>
      </c>
      <c r="I95" s="442" t="e">
        <f t="shared" si="43"/>
        <v>#DIV/0!</v>
      </c>
      <c r="J95" s="442" t="e">
        <f t="shared" si="43"/>
        <v>#DIV/0!</v>
      </c>
      <c r="K95" s="442" t="e">
        <f t="shared" si="43"/>
        <v>#DIV/0!</v>
      </c>
      <c r="L95" s="370" t="e">
        <f t="shared" si="23"/>
        <v>#DIV/0!</v>
      </c>
      <c r="U95" s="441"/>
      <c r="AP95" s="441"/>
      <c r="BA95" s="441"/>
      <c r="BB95" s="441"/>
      <c r="BC95" s="441"/>
      <c r="BD95" s="441"/>
    </row>
    <row r="96" spans="1:56" s="441" customFormat="1" x14ac:dyDescent="0.2">
      <c r="A96" s="380" t="s">
        <v>1411</v>
      </c>
      <c r="B96" s="381"/>
      <c r="C96" s="381"/>
      <c r="D96" s="381"/>
      <c r="E96" s="381"/>
      <c r="F96" s="381"/>
      <c r="G96" s="381"/>
      <c r="H96" s="381"/>
      <c r="I96" s="381"/>
      <c r="J96" s="381"/>
      <c r="K96" s="381"/>
      <c r="L96" s="370">
        <f t="shared" si="23"/>
        <v>0</v>
      </c>
      <c r="N96" s="165"/>
      <c r="O96" s="165"/>
      <c r="P96" s="165"/>
      <c r="Q96" s="165"/>
      <c r="R96" s="165"/>
      <c r="S96" s="165"/>
      <c r="T96" s="165"/>
      <c r="U96" s="165"/>
      <c r="W96" s="165"/>
      <c r="X96" s="165"/>
      <c r="Y96" s="165"/>
      <c r="Z96" s="165"/>
      <c r="AA96" s="165"/>
      <c r="AB96" s="165"/>
      <c r="AC96" s="165"/>
      <c r="AD96" s="165"/>
      <c r="AE96" s="165"/>
      <c r="AF96" s="165"/>
      <c r="AG96" s="165"/>
      <c r="AH96" s="165"/>
      <c r="AI96" s="165"/>
      <c r="AJ96" s="165"/>
      <c r="AK96" s="165"/>
      <c r="AL96" s="165"/>
      <c r="AM96" s="165"/>
      <c r="AN96" s="165"/>
      <c r="AO96" s="165"/>
      <c r="AP96" s="165"/>
      <c r="AQ96" s="165"/>
      <c r="AR96" s="167"/>
      <c r="AS96" s="165"/>
      <c r="AT96" s="165"/>
      <c r="AU96" s="165"/>
      <c r="AV96" s="165"/>
      <c r="AW96" s="165"/>
      <c r="AX96" s="165"/>
      <c r="AY96" s="165"/>
      <c r="AZ96" s="165"/>
      <c r="BA96" s="165"/>
      <c r="BB96" s="165"/>
      <c r="BC96" s="165"/>
      <c r="BD96" s="165"/>
    </row>
    <row r="97" spans="1:12" x14ac:dyDescent="0.2">
      <c r="A97" s="317" t="str">
        <f t="shared" ref="A97:A102" si="44">A88</f>
        <v>from proteins</v>
      </c>
      <c r="B97" s="351" t="e">
        <f>B88*1.08</f>
        <v>#DIV/0!</v>
      </c>
      <c r="C97" s="351" t="e">
        <f t="shared" ref="C97:K97" si="45">C88*1.08</f>
        <v>#DIV/0!</v>
      </c>
      <c r="D97" s="351" t="e">
        <f t="shared" si="45"/>
        <v>#DIV/0!</v>
      </c>
      <c r="E97" s="351" t="e">
        <f t="shared" si="45"/>
        <v>#DIV/0!</v>
      </c>
      <c r="F97" s="351" t="e">
        <f t="shared" si="45"/>
        <v>#DIV/0!</v>
      </c>
      <c r="G97" s="351" t="e">
        <f t="shared" si="45"/>
        <v>#DIV/0!</v>
      </c>
      <c r="H97" s="351" t="e">
        <f t="shared" si="45"/>
        <v>#DIV/0!</v>
      </c>
      <c r="I97" s="351" t="e">
        <f t="shared" si="45"/>
        <v>#DIV/0!</v>
      </c>
      <c r="J97" s="351" t="e">
        <f t="shared" si="45"/>
        <v>#DIV/0!</v>
      </c>
      <c r="K97" s="351" t="e">
        <f t="shared" si="45"/>
        <v>#DIV/0!</v>
      </c>
      <c r="L97" s="370" t="e">
        <f t="shared" si="23"/>
        <v>#DIV/0!</v>
      </c>
    </row>
    <row r="98" spans="1:12" x14ac:dyDescent="0.2">
      <c r="A98" s="317" t="str">
        <f t="shared" si="44"/>
        <v>Rejected N rejeté from protein</v>
      </c>
      <c r="B98" s="351"/>
      <c r="C98" s="351"/>
      <c r="D98" s="351"/>
      <c r="E98" s="351"/>
      <c r="F98" s="351"/>
      <c r="G98" s="351"/>
      <c r="H98" s="351"/>
      <c r="I98" s="351"/>
      <c r="J98" s="351"/>
      <c r="K98" s="351"/>
      <c r="L98" s="370">
        <f t="shared" si="23"/>
        <v>0</v>
      </c>
    </row>
    <row r="99" spans="1:12" x14ac:dyDescent="0.2">
      <c r="A99" s="317" t="str">
        <f t="shared" si="44"/>
        <v>from lipids</v>
      </c>
      <c r="B99" s="351" t="e">
        <f>B90*3.07</f>
        <v>#DIV/0!</v>
      </c>
      <c r="C99" s="351" t="e">
        <f t="shared" ref="C99:K99" si="46">C90*3.07</f>
        <v>#DIV/0!</v>
      </c>
      <c r="D99" s="351" t="e">
        <f t="shared" si="46"/>
        <v>#DIV/0!</v>
      </c>
      <c r="E99" s="351" t="e">
        <f t="shared" si="46"/>
        <v>#DIV/0!</v>
      </c>
      <c r="F99" s="351" t="e">
        <f t="shared" si="46"/>
        <v>#DIV/0!</v>
      </c>
      <c r="G99" s="351" t="e">
        <f t="shared" si="46"/>
        <v>#DIV/0!</v>
      </c>
      <c r="H99" s="351" t="e">
        <f t="shared" si="46"/>
        <v>#DIV/0!</v>
      </c>
      <c r="I99" s="351" t="e">
        <f t="shared" si="46"/>
        <v>#DIV/0!</v>
      </c>
      <c r="J99" s="351" t="e">
        <f t="shared" si="46"/>
        <v>#DIV/0!</v>
      </c>
      <c r="K99" s="351" t="e">
        <f t="shared" si="46"/>
        <v>#DIV/0!</v>
      </c>
      <c r="L99" s="370" t="e">
        <f t="shared" si="23"/>
        <v>#DIV/0!</v>
      </c>
    </row>
    <row r="100" spans="1:12" x14ac:dyDescent="0.2">
      <c r="A100" s="317" t="str">
        <f t="shared" si="44"/>
        <v>from carbohydrates</v>
      </c>
      <c r="B100" s="351" t="e">
        <f>B91*1.07</f>
        <v>#DIV/0!</v>
      </c>
      <c r="C100" s="351" t="e">
        <f t="shared" ref="C100:K100" si="47">C91*1.07</f>
        <v>#DIV/0!</v>
      </c>
      <c r="D100" s="351" t="e">
        <f t="shared" si="47"/>
        <v>#DIV/0!</v>
      </c>
      <c r="E100" s="351" t="e">
        <f t="shared" si="47"/>
        <v>#DIV/0!</v>
      </c>
      <c r="F100" s="351" t="e">
        <f t="shared" si="47"/>
        <v>#DIV/0!</v>
      </c>
      <c r="G100" s="351" t="e">
        <f t="shared" si="47"/>
        <v>#DIV/0!</v>
      </c>
      <c r="H100" s="351" t="e">
        <f t="shared" si="47"/>
        <v>#DIV/0!</v>
      </c>
      <c r="I100" s="351" t="e">
        <f t="shared" si="47"/>
        <v>#DIV/0!</v>
      </c>
      <c r="J100" s="351" t="e">
        <f t="shared" si="47"/>
        <v>#DIV/0!</v>
      </c>
      <c r="K100" s="351" t="e">
        <f t="shared" si="47"/>
        <v>#DIV/0!</v>
      </c>
      <c r="L100" s="370" t="e">
        <f t="shared" si="23"/>
        <v>#DIV/0!</v>
      </c>
    </row>
    <row r="101" spans="1:12" x14ac:dyDescent="0.2">
      <c r="A101" s="317" t="str">
        <f t="shared" si="44"/>
        <v>from Fibres</v>
      </c>
      <c r="B101" s="351" t="e">
        <f>B92*1.07</f>
        <v>#DIV/0!</v>
      </c>
      <c r="C101" s="351" t="e">
        <f t="shared" ref="C101:K101" si="48">C92*1.07</f>
        <v>#DIV/0!</v>
      </c>
      <c r="D101" s="351" t="e">
        <f t="shared" si="48"/>
        <v>#DIV/0!</v>
      </c>
      <c r="E101" s="351" t="e">
        <f t="shared" si="48"/>
        <v>#DIV/0!</v>
      </c>
      <c r="F101" s="351" t="e">
        <f t="shared" si="48"/>
        <v>#DIV/0!</v>
      </c>
      <c r="G101" s="351" t="e">
        <f t="shared" si="48"/>
        <v>#DIV/0!</v>
      </c>
      <c r="H101" s="351" t="e">
        <f t="shared" si="48"/>
        <v>#DIV/0!</v>
      </c>
      <c r="I101" s="351" t="e">
        <f t="shared" si="48"/>
        <v>#DIV/0!</v>
      </c>
      <c r="J101" s="351" t="e">
        <f t="shared" si="48"/>
        <v>#DIV/0!</v>
      </c>
      <c r="K101" s="351" t="e">
        <f t="shared" si="48"/>
        <v>#DIV/0!</v>
      </c>
      <c r="L101" s="370" t="e">
        <f t="shared" si="23"/>
        <v>#DIV/0!</v>
      </c>
    </row>
    <row r="102" spans="1:12" x14ac:dyDescent="0.2">
      <c r="A102" s="317" t="str">
        <f t="shared" si="44"/>
        <v>from ashes</v>
      </c>
      <c r="B102" s="351" t="e">
        <f>B93*0</f>
        <v>#DIV/0!</v>
      </c>
      <c r="C102" s="351" t="e">
        <f t="shared" ref="C102:K102" si="49">C93*0</f>
        <v>#DIV/0!</v>
      </c>
      <c r="D102" s="351" t="e">
        <f t="shared" si="49"/>
        <v>#DIV/0!</v>
      </c>
      <c r="E102" s="351" t="e">
        <f t="shared" si="49"/>
        <v>#DIV/0!</v>
      </c>
      <c r="F102" s="351" t="e">
        <f t="shared" si="49"/>
        <v>#DIV/0!</v>
      </c>
      <c r="G102" s="351" t="e">
        <f t="shared" si="49"/>
        <v>#DIV/0!</v>
      </c>
      <c r="H102" s="351" t="e">
        <f t="shared" si="49"/>
        <v>#DIV/0!</v>
      </c>
      <c r="I102" s="351" t="e">
        <f t="shared" si="49"/>
        <v>#DIV/0!</v>
      </c>
      <c r="J102" s="351" t="e">
        <f t="shared" si="49"/>
        <v>#DIV/0!</v>
      </c>
      <c r="K102" s="351" t="e">
        <f t="shared" si="49"/>
        <v>#DIV/0!</v>
      </c>
      <c r="L102" s="370" t="e">
        <f t="shared" si="23"/>
        <v>#DIV/0!</v>
      </c>
    </row>
    <row r="103" spans="1:12" x14ac:dyDescent="0.2">
      <c r="A103" s="317" t="s">
        <v>1412</v>
      </c>
      <c r="B103" s="351" t="e">
        <f>B94*0</f>
        <v>#DIV/0!</v>
      </c>
      <c r="C103" s="351" t="e">
        <f t="shared" ref="C103:K103" si="50">C94*0</f>
        <v>#DIV/0!</v>
      </c>
      <c r="D103" s="351" t="e">
        <f t="shared" si="50"/>
        <v>#DIV/0!</v>
      </c>
      <c r="E103" s="351" t="e">
        <f t="shared" si="50"/>
        <v>#DIV/0!</v>
      </c>
      <c r="F103" s="351" t="e">
        <f t="shared" si="50"/>
        <v>#DIV/0!</v>
      </c>
      <c r="G103" s="351" t="e">
        <f t="shared" si="50"/>
        <v>#DIV/0!</v>
      </c>
      <c r="H103" s="351" t="e">
        <f t="shared" si="50"/>
        <v>#DIV/0!</v>
      </c>
      <c r="I103" s="351" t="e">
        <f t="shared" si="50"/>
        <v>#DIV/0!</v>
      </c>
      <c r="J103" s="351" t="e">
        <f t="shared" si="50"/>
        <v>#DIV/0!</v>
      </c>
      <c r="K103" s="351" t="e">
        <f t="shared" si="50"/>
        <v>#DIV/0!</v>
      </c>
      <c r="L103" s="370" t="e">
        <f t="shared" si="23"/>
        <v>#DIV/0!</v>
      </c>
    </row>
    <row r="104" spans="1:12" x14ac:dyDescent="0.2">
      <c r="A104" s="317"/>
      <c r="B104" s="442" t="e">
        <f>SUM(B97:B103)</f>
        <v>#DIV/0!</v>
      </c>
      <c r="C104" s="442" t="e">
        <f t="shared" ref="C104:K104" si="51">SUM(C97:C103)</f>
        <v>#DIV/0!</v>
      </c>
      <c r="D104" s="442" t="e">
        <f t="shared" si="51"/>
        <v>#DIV/0!</v>
      </c>
      <c r="E104" s="442" t="e">
        <f t="shared" si="51"/>
        <v>#DIV/0!</v>
      </c>
      <c r="F104" s="442" t="e">
        <f t="shared" si="51"/>
        <v>#DIV/0!</v>
      </c>
      <c r="G104" s="442" t="e">
        <f t="shared" si="51"/>
        <v>#DIV/0!</v>
      </c>
      <c r="H104" s="442" t="e">
        <f t="shared" si="51"/>
        <v>#DIV/0!</v>
      </c>
      <c r="I104" s="442" t="e">
        <f t="shared" si="51"/>
        <v>#DIV/0!</v>
      </c>
      <c r="J104" s="442" t="e">
        <f t="shared" si="51"/>
        <v>#DIV/0!</v>
      </c>
      <c r="K104" s="442" t="e">
        <f t="shared" si="51"/>
        <v>#DIV/0!</v>
      </c>
      <c r="L104" s="370" t="e">
        <f>SUM(B104:K104)</f>
        <v>#DIV/0!</v>
      </c>
    </row>
    <row r="105" spans="1:12" x14ac:dyDescent="0.2">
      <c r="B105" s="166"/>
      <c r="C105" s="166"/>
      <c r="D105" s="166"/>
      <c r="E105" s="166"/>
      <c r="F105" s="166"/>
      <c r="G105" s="166"/>
      <c r="H105" s="166"/>
      <c r="I105" s="166"/>
      <c r="J105" s="166"/>
      <c r="K105" s="166"/>
    </row>
    <row r="106" spans="1:12" x14ac:dyDescent="0.2">
      <c r="G106" s="443"/>
      <c r="J106" s="166"/>
      <c r="K106" s="166"/>
    </row>
    <row r="107" spans="1:12" ht="27" thickBot="1" x14ac:dyDescent="0.45">
      <c r="A107" s="976" t="s">
        <v>1413</v>
      </c>
      <c r="B107" s="977"/>
      <c r="C107" s="977"/>
      <c r="D107" s="977"/>
      <c r="E107" s="977"/>
      <c r="F107" s="977"/>
      <c r="G107" s="977"/>
      <c r="H107" s="977"/>
      <c r="I107" s="977"/>
      <c r="J107" s="977"/>
      <c r="K107" s="977"/>
      <c r="L107" s="978"/>
    </row>
    <row r="108" spans="1:12" ht="12" thickBot="1" x14ac:dyDescent="0.25">
      <c r="A108" s="444" t="s">
        <v>1414</v>
      </c>
      <c r="B108" s="361" t="s">
        <v>1337</v>
      </c>
      <c r="C108" s="361" t="s">
        <v>1338</v>
      </c>
      <c r="D108" s="361" t="s">
        <v>1339</v>
      </c>
      <c r="E108" s="361" t="s">
        <v>1340</v>
      </c>
      <c r="F108" s="361" t="s">
        <v>1341</v>
      </c>
      <c r="G108" s="361" t="s">
        <v>1342</v>
      </c>
      <c r="H108" s="361" t="s">
        <v>1343</v>
      </c>
      <c r="I108" s="361" t="s">
        <v>1344</v>
      </c>
      <c r="J108" s="361" t="s">
        <v>1345</v>
      </c>
      <c r="K108" s="362" t="s">
        <v>1346</v>
      </c>
    </row>
    <row r="109" spans="1:12" x14ac:dyDescent="0.2">
      <c r="A109" s="172" t="s">
        <v>1415</v>
      </c>
      <c r="B109" s="443">
        <f>'Sheet 2'!D16</f>
        <v>0</v>
      </c>
      <c r="C109" s="443">
        <f>'Sheet 2'!D40</f>
        <v>0</v>
      </c>
      <c r="D109" s="443">
        <f>'Sheet 2'!D64</f>
        <v>0</v>
      </c>
      <c r="E109" s="443">
        <f>'Sheet 2'!D88</f>
        <v>0</v>
      </c>
      <c r="F109" s="399">
        <f>'Sheet 2'!D112</f>
        <v>0</v>
      </c>
      <c r="G109" s="399">
        <f>'Sheet 2'!D136</f>
        <v>0</v>
      </c>
      <c r="H109" s="443">
        <f>'Sheet 2'!D160</f>
        <v>0</v>
      </c>
      <c r="I109" s="443">
        <f>'Sheet 2'!D184</f>
        <v>0</v>
      </c>
      <c r="J109" s="443">
        <f>'Sheet 2'!D208</f>
        <v>0</v>
      </c>
      <c r="K109" s="445">
        <f>'Sheet 2'!D232</f>
        <v>0</v>
      </c>
    </row>
    <row r="110" spans="1:12" x14ac:dyDescent="0.2">
      <c r="A110" s="172" t="s">
        <v>1416</v>
      </c>
      <c r="B110" s="443">
        <f>'Sheet 2'!D17</f>
        <v>0</v>
      </c>
      <c r="C110" s="443">
        <f>'Sheet 2'!D41</f>
        <v>0</v>
      </c>
      <c r="D110" s="443">
        <f>'Sheet 2'!D65</f>
        <v>0</v>
      </c>
      <c r="E110" s="443">
        <f>'Sheet 2'!D89</f>
        <v>0</v>
      </c>
      <c r="F110" s="399">
        <f>'Sheet 2'!D113</f>
        <v>0</v>
      </c>
      <c r="G110" s="399">
        <f>'Sheet 2'!D137</f>
        <v>0</v>
      </c>
      <c r="H110" s="443">
        <f>'Sheet 2'!D161</f>
        <v>0</v>
      </c>
      <c r="I110" s="443">
        <f>'Sheet 2'!D185</f>
        <v>0</v>
      </c>
      <c r="J110" s="443">
        <f>'Sheet 2'!D209</f>
        <v>0</v>
      </c>
      <c r="K110" s="445">
        <f>'Sheet 2'!D233</f>
        <v>0</v>
      </c>
    </row>
    <row r="111" spans="1:12" ht="13.5" customHeight="1" x14ac:dyDescent="0.2">
      <c r="A111" s="172" t="s">
        <v>1417</v>
      </c>
      <c r="B111" s="443">
        <f>'Sheet 2'!D18</f>
        <v>0</v>
      </c>
      <c r="C111" s="443">
        <f>'Sheet 2'!D42</f>
        <v>0</v>
      </c>
      <c r="D111" s="443">
        <f>'Sheet 2'!D66</f>
        <v>0</v>
      </c>
      <c r="E111" s="443">
        <f>'Sheet 2'!D90</f>
        <v>0</v>
      </c>
      <c r="F111" s="399">
        <f>'Sheet 2'!D114</f>
        <v>0</v>
      </c>
      <c r="G111" s="399">
        <f>'Sheet 2'!D138</f>
        <v>0</v>
      </c>
      <c r="H111" s="443">
        <f>'Sheet 2'!D162</f>
        <v>0</v>
      </c>
      <c r="I111" s="443">
        <f>'Sheet 2'!D186</f>
        <v>0</v>
      </c>
      <c r="J111" s="443">
        <f>'Sheet 2'!D210</f>
        <v>0</v>
      </c>
      <c r="K111" s="445">
        <f>'Sheet 2'!D234</f>
        <v>0</v>
      </c>
    </row>
    <row r="112" spans="1:12" x14ac:dyDescent="0.2">
      <c r="A112" s="172" t="s">
        <v>1418</v>
      </c>
      <c r="B112" s="443">
        <f>'Sheet 2'!D19</f>
        <v>0</v>
      </c>
      <c r="C112" s="443">
        <f>'Sheet 2'!D43</f>
        <v>0</v>
      </c>
      <c r="D112" s="443">
        <f>'Sheet 2'!D67</f>
        <v>0</v>
      </c>
      <c r="E112" s="443">
        <f>'Sheet 2'!D91</f>
        <v>0</v>
      </c>
      <c r="F112" s="399">
        <f>'Sheet 2'!D115</f>
        <v>0</v>
      </c>
      <c r="G112" s="399">
        <f>'Sheet 2'!D139</f>
        <v>0</v>
      </c>
      <c r="H112" s="443">
        <f>'Sheet 2'!D163</f>
        <v>0</v>
      </c>
      <c r="I112" s="443">
        <f>'Sheet 2'!D187</f>
        <v>0</v>
      </c>
      <c r="J112" s="443">
        <f>'Sheet 2'!D211</f>
        <v>0</v>
      </c>
      <c r="K112" s="445">
        <f>'Sheet 2'!D235</f>
        <v>0</v>
      </c>
    </row>
    <row r="113" spans="1:12" x14ac:dyDescent="0.2">
      <c r="A113" s="172" t="s">
        <v>1419</v>
      </c>
      <c r="B113" s="443">
        <f>'Sheet 2'!D20</f>
        <v>0</v>
      </c>
      <c r="C113" s="443">
        <f>'Sheet 2'!D44</f>
        <v>0</v>
      </c>
      <c r="D113" s="443">
        <f>'Sheet 2'!D68</f>
        <v>0</v>
      </c>
      <c r="E113" s="443">
        <f>'Sheet 2'!D92</f>
        <v>0</v>
      </c>
      <c r="F113" s="399">
        <f>'Sheet 2'!D116</f>
        <v>0</v>
      </c>
      <c r="G113" s="399">
        <f>'Sheet 2'!D140</f>
        <v>0</v>
      </c>
      <c r="H113" s="443">
        <f>'Sheet 2'!D164</f>
        <v>0</v>
      </c>
      <c r="I113" s="443">
        <f>'Sheet 2'!D188</f>
        <v>0</v>
      </c>
      <c r="J113" s="443">
        <f>'Sheet 2'!D212</f>
        <v>0</v>
      </c>
      <c r="K113" s="445">
        <f>'Sheet 2'!D236</f>
        <v>0</v>
      </c>
    </row>
    <row r="114" spans="1:12" x14ac:dyDescent="0.2">
      <c r="A114" s="172" t="s">
        <v>1420</v>
      </c>
      <c r="B114" s="443">
        <f>'Sheet 2'!D21</f>
        <v>0</v>
      </c>
      <c r="C114" s="443">
        <f>'Sheet 2'!D45</f>
        <v>0</v>
      </c>
      <c r="D114" s="443">
        <f>'Sheet 2'!D69</f>
        <v>0</v>
      </c>
      <c r="E114" s="443">
        <f>'Sheet 2'!D93</f>
        <v>0</v>
      </c>
      <c r="F114" s="399">
        <f>'Sheet 2'!D117</f>
        <v>0</v>
      </c>
      <c r="G114" s="399">
        <f>'Sheet 2'!D141</f>
        <v>0</v>
      </c>
      <c r="H114" s="443">
        <f>'Sheet 2'!D165</f>
        <v>0</v>
      </c>
      <c r="I114" s="443">
        <f>'Sheet 2'!D189</f>
        <v>0</v>
      </c>
      <c r="J114" s="443">
        <f>'Sheet 2'!D213</f>
        <v>0</v>
      </c>
      <c r="K114" s="445">
        <f>'Sheet 2'!D237</f>
        <v>0</v>
      </c>
    </row>
    <row r="115" spans="1:12" x14ac:dyDescent="0.2">
      <c r="A115" s="172" t="s">
        <v>1421</v>
      </c>
      <c r="B115" s="443">
        <f>'Sheet 2'!D22</f>
        <v>0</v>
      </c>
      <c r="C115" s="443">
        <f>'Sheet 2'!D46</f>
        <v>0</v>
      </c>
      <c r="D115" s="443">
        <f>'Sheet 2'!D70</f>
        <v>0</v>
      </c>
      <c r="E115" s="443">
        <f>'Sheet 2'!D94</f>
        <v>0</v>
      </c>
      <c r="F115" s="399">
        <f>'Sheet 2'!D118</f>
        <v>0</v>
      </c>
      <c r="G115" s="399">
        <f>'Sheet 2'!D142</f>
        <v>0</v>
      </c>
      <c r="H115" s="443">
        <f>'Sheet 2'!D166</f>
        <v>0</v>
      </c>
      <c r="I115" s="443">
        <f>'Sheet 2'!D190</f>
        <v>0</v>
      </c>
      <c r="J115" s="443">
        <f>'Sheet 2'!D214</f>
        <v>0</v>
      </c>
      <c r="K115" s="445">
        <f>'Sheet 2'!D238</f>
        <v>0</v>
      </c>
    </row>
    <row r="116" spans="1:12" x14ac:dyDescent="0.2">
      <c r="A116" s="172" t="s">
        <v>1422</v>
      </c>
      <c r="B116" s="443">
        <f>'Sheet 2'!D23</f>
        <v>0</v>
      </c>
      <c r="C116" s="443">
        <f>'Sheet 2'!D47</f>
        <v>0</v>
      </c>
      <c r="D116" s="443">
        <f>'Sheet 2'!D71</f>
        <v>0</v>
      </c>
      <c r="E116" s="443">
        <f>'Sheet 2'!D95</f>
        <v>0</v>
      </c>
      <c r="F116" s="399">
        <f>'Sheet 2'!D119</f>
        <v>0</v>
      </c>
      <c r="G116" s="399">
        <f>'Sheet 2'!D143</f>
        <v>0</v>
      </c>
      <c r="H116" s="443">
        <f>'Sheet 2'!D167</f>
        <v>0</v>
      </c>
      <c r="I116" s="443">
        <f>'Sheet 2'!D191</f>
        <v>0</v>
      </c>
      <c r="J116" s="443">
        <f>'Sheet 2'!D215</f>
        <v>0</v>
      </c>
      <c r="K116" s="445">
        <f>'Sheet 2'!D239</f>
        <v>0</v>
      </c>
    </row>
    <row r="117" spans="1:12" x14ac:dyDescent="0.2">
      <c r="A117" s="172" t="s">
        <v>1423</v>
      </c>
      <c r="B117" s="443">
        <f>'Sheet 2'!D24</f>
        <v>0</v>
      </c>
      <c r="C117" s="443">
        <f>'Sheet 2'!D48</f>
        <v>0</v>
      </c>
      <c r="D117" s="443">
        <f>'Sheet 2'!D72</f>
        <v>0</v>
      </c>
      <c r="E117" s="443">
        <f>'Sheet 2'!D96</f>
        <v>0</v>
      </c>
      <c r="F117" s="399">
        <f>'Sheet 2'!D120</f>
        <v>0</v>
      </c>
      <c r="G117" s="399">
        <f>'Sheet 2'!D144</f>
        <v>0</v>
      </c>
      <c r="H117" s="443">
        <f>'Sheet 2'!D168</f>
        <v>0</v>
      </c>
      <c r="I117" s="443">
        <f>'Sheet 2'!D192</f>
        <v>0</v>
      </c>
      <c r="J117" s="443">
        <f>'Sheet 2'!D216</f>
        <v>0</v>
      </c>
      <c r="K117" s="445">
        <f>'Sheet 2'!D240</f>
        <v>0</v>
      </c>
    </row>
    <row r="118" spans="1:12" x14ac:dyDescent="0.2">
      <c r="A118" s="172" t="s">
        <v>1424</v>
      </c>
      <c r="B118" s="443">
        <f>'Sheet 2'!D25</f>
        <v>0</v>
      </c>
      <c r="C118" s="443">
        <f>'Sheet 2'!D49</f>
        <v>0</v>
      </c>
      <c r="D118" s="443">
        <f>'Sheet 2'!D73</f>
        <v>0</v>
      </c>
      <c r="E118" s="443">
        <f>'Sheet 2'!D97</f>
        <v>0</v>
      </c>
      <c r="F118" s="399">
        <f>'Sheet 2'!D121</f>
        <v>0</v>
      </c>
      <c r="G118" s="399">
        <f>'Sheet 2'!D145</f>
        <v>0</v>
      </c>
      <c r="H118" s="443">
        <f>'Sheet 2'!D169</f>
        <v>0</v>
      </c>
      <c r="I118" s="443">
        <f>'Sheet 2'!D193</f>
        <v>0</v>
      </c>
      <c r="J118" s="443">
        <f>'Sheet 2'!D217</f>
        <v>0</v>
      </c>
      <c r="K118" s="445">
        <f>'Sheet 2'!D241</f>
        <v>0</v>
      </c>
    </row>
    <row r="119" spans="1:12" x14ac:dyDescent="0.2">
      <c r="A119" s="172" t="s">
        <v>1425</v>
      </c>
      <c r="B119" s="443">
        <f>'Sheet 2'!D26</f>
        <v>0</v>
      </c>
      <c r="C119" s="443">
        <f>'Sheet 2'!D50</f>
        <v>0</v>
      </c>
      <c r="D119" s="443">
        <f>'Sheet 2'!D74</f>
        <v>0</v>
      </c>
      <c r="E119" s="443">
        <f>'Sheet 2'!D98</f>
        <v>0</v>
      </c>
      <c r="F119" s="399">
        <f>'Sheet 2'!D122</f>
        <v>0</v>
      </c>
      <c r="G119" s="399">
        <f>'Sheet 2'!D146</f>
        <v>0</v>
      </c>
      <c r="H119" s="443">
        <f>'Sheet 2'!D170</f>
        <v>0</v>
      </c>
      <c r="I119" s="443">
        <f>'Sheet 2'!D194</f>
        <v>0</v>
      </c>
      <c r="J119" s="443">
        <f>'Sheet 2'!D218</f>
        <v>0</v>
      </c>
      <c r="K119" s="445">
        <f>'Sheet 2'!D242</f>
        <v>0</v>
      </c>
    </row>
    <row r="120" spans="1:12" x14ac:dyDescent="0.2">
      <c r="A120" s="172" t="s">
        <v>1426</v>
      </c>
      <c r="B120" s="443">
        <f>'Sheet 2'!D27</f>
        <v>0</v>
      </c>
      <c r="C120" s="443">
        <f>'Sheet 2'!D51</f>
        <v>0</v>
      </c>
      <c r="D120" s="443">
        <f>'Sheet 2'!D75</f>
        <v>0</v>
      </c>
      <c r="E120" s="443">
        <f>'Sheet 2'!D99</f>
        <v>0</v>
      </c>
      <c r="F120" s="399">
        <f>'Sheet 2'!D123</f>
        <v>0</v>
      </c>
      <c r="G120" s="399">
        <f>'Sheet 2'!D147</f>
        <v>0</v>
      </c>
      <c r="H120" s="443">
        <f>'Sheet 2'!D171</f>
        <v>0</v>
      </c>
      <c r="I120" s="443">
        <f>'Sheet 2'!D195</f>
        <v>0</v>
      </c>
      <c r="J120" s="443">
        <f>'Sheet 2'!D219</f>
        <v>0</v>
      </c>
      <c r="K120" s="445">
        <f>'Sheet 2'!D243</f>
        <v>0</v>
      </c>
    </row>
    <row r="121" spans="1:12" x14ac:dyDescent="0.2">
      <c r="A121" s="172" t="s">
        <v>1427</v>
      </c>
      <c r="B121" s="443">
        <f>'Sheet 2'!D28</f>
        <v>0</v>
      </c>
      <c r="C121" s="443">
        <f>'Sheet 2'!D52</f>
        <v>0</v>
      </c>
      <c r="D121" s="443">
        <f>'Sheet 2'!D76</f>
        <v>0</v>
      </c>
      <c r="E121" s="443">
        <f>'Sheet 2'!D100</f>
        <v>0</v>
      </c>
      <c r="F121" s="399">
        <f>'Sheet 2'!D124</f>
        <v>0</v>
      </c>
      <c r="G121" s="399">
        <f>'Sheet 2'!D148</f>
        <v>0</v>
      </c>
      <c r="H121" s="443">
        <f>'Sheet 2'!D172</f>
        <v>0</v>
      </c>
      <c r="I121" s="443">
        <f>'Sheet 2'!D196</f>
        <v>0</v>
      </c>
      <c r="J121" s="443">
        <f>'Sheet 2'!D220</f>
        <v>0</v>
      </c>
      <c r="K121" s="445">
        <f>'Sheet 2'!D244</f>
        <v>0</v>
      </c>
    </row>
    <row r="122" spans="1:12" x14ac:dyDescent="0.2">
      <c r="A122" s="172" t="s">
        <v>1428</v>
      </c>
      <c r="B122" s="443">
        <f>'Sheet 2'!D29</f>
        <v>0</v>
      </c>
      <c r="C122" s="443">
        <f>'Sheet 2'!D53</f>
        <v>0</v>
      </c>
      <c r="D122" s="443">
        <f>'Sheet 2'!D77</f>
        <v>0</v>
      </c>
      <c r="E122" s="443">
        <f>'Sheet 2'!D101</f>
        <v>0</v>
      </c>
      <c r="F122" s="399">
        <f>'Sheet 2'!D125</f>
        <v>0</v>
      </c>
      <c r="G122" s="399">
        <f>'Sheet 2'!D149</f>
        <v>0</v>
      </c>
      <c r="H122" s="443">
        <f>'Sheet 2'!D173</f>
        <v>0</v>
      </c>
      <c r="I122" s="443">
        <f>'Sheet 2'!D197</f>
        <v>0</v>
      </c>
      <c r="J122" s="443">
        <f>'Sheet 2'!D221</f>
        <v>0</v>
      </c>
      <c r="K122" s="445">
        <f>'Sheet 2'!D245</f>
        <v>0</v>
      </c>
    </row>
    <row r="123" spans="1:12" ht="12" thickBot="1" x14ac:dyDescent="0.25">
      <c r="A123" s="172" t="s">
        <v>1429</v>
      </c>
      <c r="B123" s="443">
        <f>'Sheet 2'!D30</f>
        <v>0</v>
      </c>
      <c r="C123" s="443">
        <f>'Sheet 2'!D54</f>
        <v>0</v>
      </c>
      <c r="D123" s="443">
        <f>'Sheet 2'!D78</f>
        <v>0</v>
      </c>
      <c r="E123" s="443">
        <f>'Sheet 2'!D102</f>
        <v>0</v>
      </c>
      <c r="F123" s="399">
        <f>'Sheet 2'!D126</f>
        <v>0</v>
      </c>
      <c r="G123" s="399">
        <f>'Sheet 2'!D150</f>
        <v>0</v>
      </c>
      <c r="H123" s="443">
        <f>'Sheet 2'!D174</f>
        <v>0</v>
      </c>
      <c r="I123" s="443">
        <f>'Sheet 2'!D198</f>
        <v>0</v>
      </c>
      <c r="J123" s="443">
        <f>'Sheet 2'!D222</f>
        <v>0</v>
      </c>
      <c r="K123" s="445">
        <f>'Sheet 2'!D246</f>
        <v>0</v>
      </c>
    </row>
    <row r="124" spans="1:12" x14ac:dyDescent="0.2">
      <c r="A124" s="446" t="s">
        <v>1430</v>
      </c>
      <c r="B124" s="447">
        <f t="shared" ref="B124:K124" si="52">B23/1000</f>
        <v>0</v>
      </c>
      <c r="C124" s="447">
        <f t="shared" si="52"/>
        <v>0</v>
      </c>
      <c r="D124" s="447">
        <f t="shared" si="52"/>
        <v>0</v>
      </c>
      <c r="E124" s="447">
        <f t="shared" si="52"/>
        <v>0</v>
      </c>
      <c r="F124" s="447">
        <f t="shared" si="52"/>
        <v>0</v>
      </c>
      <c r="G124" s="447">
        <f t="shared" si="52"/>
        <v>0</v>
      </c>
      <c r="H124" s="447">
        <f t="shared" si="52"/>
        <v>0</v>
      </c>
      <c r="I124" s="447">
        <f t="shared" si="52"/>
        <v>0</v>
      </c>
      <c r="J124" s="447">
        <f t="shared" si="52"/>
        <v>0</v>
      </c>
      <c r="K124" s="447">
        <f t="shared" si="52"/>
        <v>0</v>
      </c>
    </row>
    <row r="125" spans="1:12" x14ac:dyDescent="0.2">
      <c r="A125" s="172" t="s">
        <v>1431</v>
      </c>
      <c r="B125" s="399" t="e">
        <f t="shared" ref="B125:K125" si="53">B124/SUM($B$124:$K$124)</f>
        <v>#DIV/0!</v>
      </c>
      <c r="C125" s="399" t="e">
        <f t="shared" si="53"/>
        <v>#DIV/0!</v>
      </c>
      <c r="D125" s="399" t="e">
        <f t="shared" si="53"/>
        <v>#DIV/0!</v>
      </c>
      <c r="E125" s="399" t="e">
        <f t="shared" si="53"/>
        <v>#DIV/0!</v>
      </c>
      <c r="F125" s="399" t="e">
        <f t="shared" si="53"/>
        <v>#DIV/0!</v>
      </c>
      <c r="G125" s="399" t="e">
        <f t="shared" si="53"/>
        <v>#DIV/0!</v>
      </c>
      <c r="H125" s="399" t="e">
        <f t="shared" si="53"/>
        <v>#DIV/0!</v>
      </c>
      <c r="I125" s="399" t="e">
        <f t="shared" si="53"/>
        <v>#DIV/0!</v>
      </c>
      <c r="J125" s="399" t="e">
        <f t="shared" si="53"/>
        <v>#DIV/0!</v>
      </c>
      <c r="K125" s="427" t="e">
        <f t="shared" si="53"/>
        <v>#DIV/0!</v>
      </c>
    </row>
    <row r="126" spans="1:12" x14ac:dyDescent="0.2">
      <c r="A126" s="172" t="s">
        <v>1432</v>
      </c>
      <c r="B126" s="399">
        <f t="shared" ref="B126:K126" si="54">SUM(B109:B123)</f>
        <v>0</v>
      </c>
      <c r="C126" s="399">
        <f t="shared" si="54"/>
        <v>0</v>
      </c>
      <c r="D126" s="399">
        <f t="shared" si="54"/>
        <v>0</v>
      </c>
      <c r="E126" s="399">
        <f t="shared" si="54"/>
        <v>0</v>
      </c>
      <c r="F126" s="399">
        <f t="shared" si="54"/>
        <v>0</v>
      </c>
      <c r="G126" s="399">
        <f t="shared" si="54"/>
        <v>0</v>
      </c>
      <c r="H126" s="399">
        <f t="shared" si="54"/>
        <v>0</v>
      </c>
      <c r="I126" s="399">
        <f t="shared" si="54"/>
        <v>0</v>
      </c>
      <c r="J126" s="399">
        <f t="shared" si="54"/>
        <v>0</v>
      </c>
      <c r="K126" s="427">
        <f t="shared" si="54"/>
        <v>0</v>
      </c>
    </row>
    <row r="127" spans="1:12" ht="12" thickBot="1" x14ac:dyDescent="0.25">
      <c r="A127" s="448" t="s">
        <v>1433</v>
      </c>
      <c r="B127" s="280">
        <f t="shared" ref="B127:K127" si="55">B126*B124</f>
        <v>0</v>
      </c>
      <c r="C127" s="280">
        <f t="shared" si="55"/>
        <v>0</v>
      </c>
      <c r="D127" s="280">
        <f t="shared" si="55"/>
        <v>0</v>
      </c>
      <c r="E127" s="280">
        <f t="shared" si="55"/>
        <v>0</v>
      </c>
      <c r="F127" s="280">
        <f t="shared" si="55"/>
        <v>0</v>
      </c>
      <c r="G127" s="280">
        <f t="shared" si="55"/>
        <v>0</v>
      </c>
      <c r="H127" s="280">
        <f t="shared" si="55"/>
        <v>0</v>
      </c>
      <c r="I127" s="280">
        <f t="shared" si="55"/>
        <v>0</v>
      </c>
      <c r="J127" s="280">
        <f t="shared" si="55"/>
        <v>0</v>
      </c>
      <c r="K127" s="281">
        <f t="shared" si="55"/>
        <v>0</v>
      </c>
    </row>
    <row r="128" spans="1:12" ht="12" thickBot="1" x14ac:dyDescent="0.25">
      <c r="A128" s="444" t="s">
        <v>1434</v>
      </c>
      <c r="B128" s="449" t="e">
        <f t="shared" ref="B128:K128" si="56">B127/($L$23/1000)</f>
        <v>#DIV/0!</v>
      </c>
      <c r="C128" s="449" t="e">
        <f t="shared" si="56"/>
        <v>#DIV/0!</v>
      </c>
      <c r="D128" s="449" t="e">
        <f t="shared" si="56"/>
        <v>#DIV/0!</v>
      </c>
      <c r="E128" s="449" t="e">
        <f t="shared" si="56"/>
        <v>#DIV/0!</v>
      </c>
      <c r="F128" s="449" t="e">
        <f t="shared" si="56"/>
        <v>#DIV/0!</v>
      </c>
      <c r="G128" s="449" t="e">
        <f t="shared" si="56"/>
        <v>#DIV/0!</v>
      </c>
      <c r="H128" s="449" t="e">
        <f t="shared" si="56"/>
        <v>#DIV/0!</v>
      </c>
      <c r="I128" s="449" t="e">
        <f t="shared" si="56"/>
        <v>#DIV/0!</v>
      </c>
      <c r="J128" s="449" t="e">
        <f t="shared" si="56"/>
        <v>#DIV/0!</v>
      </c>
      <c r="K128" s="449" t="e">
        <f t="shared" si="56"/>
        <v>#DIV/0!</v>
      </c>
      <c r="L128" s="450" t="e">
        <f>SUM(B128:K128)</f>
        <v>#DIV/0!</v>
      </c>
    </row>
    <row r="129" spans="1:12" ht="12" thickBot="1" x14ac:dyDescent="0.25">
      <c r="A129" s="444" t="s">
        <v>1435</v>
      </c>
      <c r="B129" s="449">
        <f>1-B34</f>
        <v>1</v>
      </c>
      <c r="C129" s="449">
        <f t="shared" ref="C129:K129" si="57">1-C34</f>
        <v>1</v>
      </c>
      <c r="D129" s="449">
        <f t="shared" si="57"/>
        <v>1</v>
      </c>
      <c r="E129" s="449">
        <f t="shared" si="57"/>
        <v>1</v>
      </c>
      <c r="F129" s="449">
        <f t="shared" si="57"/>
        <v>1</v>
      </c>
      <c r="G129" s="449">
        <f t="shared" si="57"/>
        <v>1</v>
      </c>
      <c r="H129" s="449">
        <f t="shared" si="57"/>
        <v>1</v>
      </c>
      <c r="I129" s="449">
        <f t="shared" si="57"/>
        <v>1</v>
      </c>
      <c r="J129" s="449">
        <f t="shared" si="57"/>
        <v>1</v>
      </c>
      <c r="K129" s="449">
        <f t="shared" si="57"/>
        <v>1</v>
      </c>
      <c r="L129" s="451" t="e">
        <f>SUMPRODUCT(B129:K129,B125:K125)</f>
        <v>#DIV/0!</v>
      </c>
    </row>
    <row r="133" spans="1:12" ht="14.25" customHeight="1" x14ac:dyDescent="0.2">
      <c r="D133" s="440"/>
    </row>
    <row r="134" spans="1:12" x14ac:dyDescent="0.2">
      <c r="A134" s="979"/>
      <c r="B134" s="979"/>
      <c r="C134" s="166"/>
      <c r="D134" s="166"/>
    </row>
    <row r="135" spans="1:12" ht="15" customHeight="1" thickBot="1" x14ac:dyDescent="0.25">
      <c r="H135" s="166"/>
    </row>
    <row r="136" spans="1:12" ht="12" thickBot="1" x14ac:dyDescent="0.25">
      <c r="A136" s="962" t="s">
        <v>1436</v>
      </c>
      <c r="B136" s="963"/>
      <c r="C136" s="963"/>
      <c r="D136" s="964"/>
    </row>
    <row r="137" spans="1:12" ht="22.5" x14ac:dyDescent="0.2">
      <c r="A137" s="452" t="s">
        <v>1437</v>
      </c>
      <c r="B137" s="453" t="s">
        <v>1438</v>
      </c>
      <c r="C137" s="189" t="s">
        <v>1439</v>
      </c>
      <c r="D137" s="454" t="e">
        <f>L23/G17</f>
        <v>#DIV/0!</v>
      </c>
    </row>
    <row r="138" spans="1:12" ht="22.5" x14ac:dyDescent="0.2">
      <c r="A138" s="455" t="s">
        <v>1440</v>
      </c>
      <c r="B138" s="456" t="s">
        <v>1441</v>
      </c>
      <c r="C138" s="212" t="s">
        <v>1442</v>
      </c>
      <c r="D138" s="457" t="e">
        <f>IF(L14=0,0,D137*(L129/L14))</f>
        <v>#DIV/0!</v>
      </c>
    </row>
    <row r="139" spans="1:12" ht="22.5" x14ac:dyDescent="0.2">
      <c r="A139" s="455" t="s">
        <v>1443</v>
      </c>
      <c r="B139" s="456" t="s">
        <v>1444</v>
      </c>
      <c r="C139" s="212" t="s">
        <v>1445</v>
      </c>
      <c r="D139" s="457" t="e">
        <f>(D138-1)*L14</f>
        <v>#DIV/0!</v>
      </c>
    </row>
    <row r="140" spans="1:12" ht="22.5" x14ac:dyDescent="0.2">
      <c r="A140" s="455" t="s">
        <v>1446</v>
      </c>
      <c r="B140" s="456" t="s">
        <v>1447</v>
      </c>
      <c r="C140" s="212" t="s">
        <v>1448</v>
      </c>
      <c r="D140" s="457" t="e">
        <f>D137*L28</f>
        <v>#DIV/0!</v>
      </c>
    </row>
    <row r="141" spans="1:12" ht="22.5" x14ac:dyDescent="0.2">
      <c r="A141" s="455" t="s">
        <v>1449</v>
      </c>
      <c r="B141" s="456" t="s">
        <v>1450</v>
      </c>
      <c r="C141" s="212" t="s">
        <v>1451</v>
      </c>
      <c r="D141" s="252" t="e">
        <f>IF(J14=0,0,D137*L28/J14)</f>
        <v>#DIV/0!</v>
      </c>
    </row>
    <row r="142" spans="1:12" ht="22.5" x14ac:dyDescent="0.2">
      <c r="A142" s="455" t="s">
        <v>1452</v>
      </c>
      <c r="B142" s="456" t="s">
        <v>1453</v>
      </c>
      <c r="C142" s="212" t="s">
        <v>1454</v>
      </c>
      <c r="D142" s="457" t="e">
        <f>D137*L128</f>
        <v>#DIV/0!</v>
      </c>
    </row>
    <row r="143" spans="1:12" ht="12" thickBot="1" x14ac:dyDescent="0.25">
      <c r="A143" s="458" t="s">
        <v>1455</v>
      </c>
      <c r="B143" s="459" t="s">
        <v>1456</v>
      </c>
      <c r="C143" s="285" t="s">
        <v>1457</v>
      </c>
      <c r="D143" s="460" t="e">
        <f>D142*4.5</f>
        <v>#DIV/0!</v>
      </c>
      <c r="G143" s="439"/>
    </row>
    <row r="144" spans="1:12" x14ac:dyDescent="0.2">
      <c r="A144" s="439"/>
      <c r="B144" s="439"/>
      <c r="E144" s="439"/>
      <c r="F144" s="439"/>
      <c r="G144" s="439"/>
    </row>
    <row r="145" spans="1:9" x14ac:dyDescent="0.2">
      <c r="A145" s="439"/>
      <c r="B145" s="439"/>
      <c r="C145" s="439"/>
      <c r="D145" s="439"/>
      <c r="E145" s="439"/>
      <c r="F145" s="439"/>
      <c r="G145" s="439"/>
    </row>
    <row r="146" spans="1:9" x14ac:dyDescent="0.2">
      <c r="A146" s="439"/>
      <c r="B146" s="439"/>
      <c r="C146" s="439"/>
      <c r="D146" s="439"/>
      <c r="E146" s="439"/>
      <c r="F146" s="439"/>
      <c r="G146" s="439"/>
    </row>
    <row r="147" spans="1:9" x14ac:dyDescent="0.2">
      <c r="A147" s="439"/>
      <c r="B147" s="439"/>
      <c r="C147" s="439"/>
      <c r="D147" s="439"/>
      <c r="E147" s="439"/>
      <c r="F147" s="439"/>
      <c r="G147" s="439"/>
    </row>
    <row r="148" spans="1:9" x14ac:dyDescent="0.2">
      <c r="A148" s="439"/>
      <c r="B148" s="439"/>
      <c r="C148" s="439"/>
      <c r="D148" s="439"/>
      <c r="E148" s="439"/>
      <c r="F148" s="439"/>
      <c r="G148" s="439"/>
    </row>
    <row r="149" spans="1:9" x14ac:dyDescent="0.2">
      <c r="A149" s="439"/>
      <c r="B149" s="439"/>
      <c r="C149" s="439"/>
      <c r="D149" s="439"/>
      <c r="E149" s="439"/>
      <c r="F149" s="439"/>
      <c r="G149" s="439"/>
      <c r="H149" s="439"/>
      <c r="I149" s="439"/>
    </row>
    <row r="150" spans="1:9" x14ac:dyDescent="0.2">
      <c r="B150" s="175"/>
      <c r="C150" s="175"/>
      <c r="D150" s="175"/>
      <c r="E150" s="175"/>
      <c r="G150" s="175"/>
      <c r="H150" s="175"/>
      <c r="I150" s="175"/>
    </row>
    <row r="151" spans="1:9" x14ac:dyDescent="0.2">
      <c r="B151" s="176"/>
    </row>
    <row r="162" spans="2:9" x14ac:dyDescent="0.2">
      <c r="H162" s="439"/>
      <c r="I162" s="439"/>
    </row>
    <row r="165" spans="2:9" x14ac:dyDescent="0.2">
      <c r="B165" s="176"/>
    </row>
  </sheetData>
  <mergeCells count="30">
    <mergeCell ref="A107:L107"/>
    <mergeCell ref="A134:B134"/>
    <mergeCell ref="A136:D136"/>
    <mergeCell ref="J2:L2"/>
    <mergeCell ref="AS25:AT25"/>
    <mergeCell ref="AQ26:AR26"/>
    <mergeCell ref="AQ27:AR27"/>
    <mergeCell ref="AQ28:AR28"/>
    <mergeCell ref="N36:R36"/>
    <mergeCell ref="R49:S49"/>
    <mergeCell ref="AA20:AB20"/>
    <mergeCell ref="A21:L21"/>
    <mergeCell ref="AA21:AB21"/>
    <mergeCell ref="N22:P22"/>
    <mergeCell ref="AA22:AB22"/>
    <mergeCell ref="AN22:AO22"/>
    <mergeCell ref="A6:C6"/>
    <mergeCell ref="N12:P12"/>
    <mergeCell ref="AD15:AH15"/>
    <mergeCell ref="AA17:AC17"/>
    <mergeCell ref="AA18:AB18"/>
    <mergeCell ref="AA19:AB19"/>
    <mergeCell ref="AX1:BA1"/>
    <mergeCell ref="N2:S2"/>
    <mergeCell ref="AA2:AJ2"/>
    <mergeCell ref="AM2:AV2"/>
    <mergeCell ref="AA3:AE3"/>
    <mergeCell ref="AF3:AJ3"/>
    <mergeCell ref="AM3:AQ3"/>
    <mergeCell ref="AR3:AV3"/>
  </mergeCells>
  <dataValidations count="1">
    <dataValidation type="list" allowBlank="1" showInputMessage="1" showErrorMessage="1" sqref="X24" xr:uid="{0D385ECA-1673-492C-AF53-C1EE6BE03261}">
      <formula1>List_Transport</formula1>
    </dataValidation>
  </dataValidation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1C94B-2023-45F9-A571-E94F945C495C}">
  <sheetPr codeName="Feuil3">
    <tabColor theme="2" tint="-0.249977111117893"/>
    <pageSetUpPr fitToPage="1"/>
  </sheetPr>
  <dimension ref="A1:E105"/>
  <sheetViews>
    <sheetView topLeftCell="A26" workbookViewId="0">
      <selection activeCell="C50" sqref="C50"/>
    </sheetView>
  </sheetViews>
  <sheetFormatPr baseColWidth="10" defaultColWidth="10.7109375" defaultRowHeight="15" x14ac:dyDescent="0.25"/>
  <cols>
    <col min="1" max="1" width="58.7109375" bestFit="1" customWidth="1"/>
    <col min="2" max="2" width="19.42578125" bestFit="1" customWidth="1"/>
    <col min="3" max="3" width="13.42578125" style="81" bestFit="1" customWidth="1"/>
    <col min="4" max="4" width="94.42578125" bestFit="1" customWidth="1"/>
  </cols>
  <sheetData>
    <row r="1" spans="1:4" ht="18" thickBot="1" x14ac:dyDescent="0.35">
      <c r="A1" s="1" t="s">
        <v>1</v>
      </c>
      <c r="B1" s="1" t="s">
        <v>7</v>
      </c>
      <c r="C1" s="80" t="s">
        <v>8</v>
      </c>
      <c r="D1" s="1" t="s">
        <v>346</v>
      </c>
    </row>
    <row r="2" spans="1:4" ht="16.5" thickTop="1" thickBot="1" x14ac:dyDescent="0.3"/>
    <row r="3" spans="1:4" ht="15.75" thickBot="1" x14ac:dyDescent="0.3">
      <c r="A3" s="822" t="s">
        <v>344</v>
      </c>
      <c r="B3" s="823"/>
      <c r="C3" s="823"/>
      <c r="D3" s="824"/>
    </row>
    <row r="4" spans="1:4" x14ac:dyDescent="0.25">
      <c r="A4" s="11" t="s">
        <v>6</v>
      </c>
      <c r="B4" s="12" t="s">
        <v>9</v>
      </c>
      <c r="C4" s="676">
        <f>'Input data'!C4</f>
        <v>0</v>
      </c>
      <c r="D4" s="23" t="s">
        <v>379</v>
      </c>
    </row>
    <row r="5" spans="1:4" x14ac:dyDescent="0.25">
      <c r="A5" s="13" t="s">
        <v>20</v>
      </c>
      <c r="B5" s="10" t="s">
        <v>21</v>
      </c>
      <c r="C5" s="677">
        <f>'Input data'!C5</f>
        <v>0</v>
      </c>
      <c r="D5" s="24" t="s">
        <v>1087</v>
      </c>
    </row>
    <row r="6" spans="1:4" s="59" customFormat="1" x14ac:dyDescent="0.25">
      <c r="A6" s="13" t="s">
        <v>1094</v>
      </c>
      <c r="B6" s="10" t="s">
        <v>21</v>
      </c>
      <c r="C6" s="678">
        <f>'Input data'!C6</f>
        <v>0</v>
      </c>
      <c r="D6" s="24" t="s">
        <v>1095</v>
      </c>
    </row>
    <row r="7" spans="1:4" x14ac:dyDescent="0.25">
      <c r="A7" s="13" t="s">
        <v>22</v>
      </c>
      <c r="B7" s="10" t="s">
        <v>21</v>
      </c>
      <c r="C7" s="678">
        <f>'Input data'!C7</f>
        <v>0</v>
      </c>
      <c r="D7" s="24" t="s">
        <v>381</v>
      </c>
    </row>
    <row r="8" spans="1:4" x14ac:dyDescent="0.25">
      <c r="A8" s="13" t="s">
        <v>40</v>
      </c>
      <c r="B8" s="10" t="s">
        <v>21</v>
      </c>
      <c r="C8" s="673">
        <f>'Input data'!C8</f>
        <v>0</v>
      </c>
      <c r="D8" s="132" t="s">
        <v>380</v>
      </c>
    </row>
    <row r="9" spans="1:4" x14ac:dyDescent="0.25">
      <c r="A9" s="13" t="s">
        <v>1088</v>
      </c>
      <c r="B9" s="10" t="s">
        <v>60</v>
      </c>
      <c r="C9" s="679">
        <f>'Input data'!C9</f>
        <v>0</v>
      </c>
      <c r="D9" s="133" t="s">
        <v>1544</v>
      </c>
    </row>
    <row r="10" spans="1:4" x14ac:dyDescent="0.25">
      <c r="A10" s="13" t="s">
        <v>1112</v>
      </c>
      <c r="B10" s="10" t="s">
        <v>69</v>
      </c>
      <c r="C10" s="674" t="e">
        <f>'Input data'!C10</f>
        <v>#DIV/0!</v>
      </c>
      <c r="D10" s="134"/>
    </row>
    <row r="11" spans="1:4" x14ac:dyDescent="0.25">
      <c r="A11" s="13" t="s">
        <v>104</v>
      </c>
      <c r="B11" s="10" t="s">
        <v>69</v>
      </c>
      <c r="C11" s="673">
        <f>'Input data'!C11</f>
        <v>0</v>
      </c>
      <c r="D11" s="24" t="s">
        <v>382</v>
      </c>
    </row>
    <row r="12" spans="1:4" x14ac:dyDescent="0.25">
      <c r="A12" s="13" t="s">
        <v>271</v>
      </c>
      <c r="B12" s="10" t="s">
        <v>69</v>
      </c>
      <c r="C12" s="673">
        <f>'Input data'!C12</f>
        <v>0</v>
      </c>
      <c r="D12" s="24" t="s">
        <v>383</v>
      </c>
    </row>
    <row r="13" spans="1:4" x14ac:dyDescent="0.25">
      <c r="A13" s="13" t="s">
        <v>147</v>
      </c>
      <c r="B13" s="10" t="s">
        <v>69</v>
      </c>
      <c r="C13" s="678" t="e">
        <f>'Input data'!C13</f>
        <v>#DIV/0!</v>
      </c>
      <c r="D13" s="24" t="s">
        <v>384</v>
      </c>
    </row>
    <row r="14" spans="1:4" x14ac:dyDescent="0.25">
      <c r="A14" s="13" t="s">
        <v>508</v>
      </c>
      <c r="B14" s="10" t="s">
        <v>70</v>
      </c>
      <c r="C14" s="679" t="e">
        <f>'Input data'!C14</f>
        <v>#DIV/0!</v>
      </c>
      <c r="D14" s="47"/>
    </row>
    <row r="15" spans="1:4" x14ac:dyDescent="0.25">
      <c r="A15" s="18" t="s">
        <v>4</v>
      </c>
      <c r="B15" s="17" t="s">
        <v>350</v>
      </c>
      <c r="C15" s="674" t="e">
        <f>C4/(C5/1000)</f>
        <v>#DIV/0!</v>
      </c>
      <c r="D15" s="24" t="s">
        <v>385</v>
      </c>
    </row>
    <row r="16" spans="1:4" x14ac:dyDescent="0.25">
      <c r="A16" s="18" t="s">
        <v>23</v>
      </c>
      <c r="B16" s="17" t="s">
        <v>68</v>
      </c>
      <c r="C16" s="674" t="e">
        <f>C7/C5</f>
        <v>#DIV/0!</v>
      </c>
      <c r="D16" s="24" t="s">
        <v>386</v>
      </c>
    </row>
    <row r="17" spans="1:5" ht="15.75" thickBot="1" x14ac:dyDescent="0.3">
      <c r="A17" s="19" t="s">
        <v>43</v>
      </c>
      <c r="B17" s="20" t="s">
        <v>70</v>
      </c>
      <c r="C17" s="675" t="e">
        <f>C8/C5</f>
        <v>#DIV/0!</v>
      </c>
      <c r="D17" s="25" t="s">
        <v>387</v>
      </c>
    </row>
    <row r="18" spans="1:5" ht="15.75" thickBot="1" x14ac:dyDescent="0.3"/>
    <row r="19" spans="1:5" ht="15.75" thickBot="1" x14ac:dyDescent="0.3">
      <c r="A19" s="822" t="s">
        <v>338</v>
      </c>
      <c r="B19" s="823"/>
      <c r="C19" s="823"/>
      <c r="D19" s="824"/>
    </row>
    <row r="20" spans="1:5" x14ac:dyDescent="0.25">
      <c r="A20" s="11" t="s">
        <v>388</v>
      </c>
      <c r="B20" s="12" t="s">
        <v>164</v>
      </c>
      <c r="C20" s="680">
        <f>'Input data'!C17</f>
        <v>0</v>
      </c>
      <c r="D20" s="23" t="s">
        <v>389</v>
      </c>
    </row>
    <row r="21" spans="1:5" ht="30" x14ac:dyDescent="0.25">
      <c r="A21" s="13" t="s">
        <v>189</v>
      </c>
      <c r="B21" s="10" t="s">
        <v>38</v>
      </c>
      <c r="C21" s="673">
        <f>'Input data'!C18</f>
        <v>0</v>
      </c>
      <c r="D21" s="135" t="s">
        <v>1092</v>
      </c>
    </row>
    <row r="22" spans="1:5" x14ac:dyDescent="0.25">
      <c r="A22" s="13" t="s">
        <v>489</v>
      </c>
      <c r="B22" s="10" t="s">
        <v>38</v>
      </c>
      <c r="C22" s="673">
        <f>'Input data'!C19</f>
        <v>0</v>
      </c>
      <c r="D22" s="24"/>
    </row>
    <row r="23" spans="1:5" x14ac:dyDescent="0.25">
      <c r="A23" s="13" t="s">
        <v>490</v>
      </c>
      <c r="B23" s="10" t="s">
        <v>38</v>
      </c>
      <c r="C23" s="673">
        <f>'Input data'!C20</f>
        <v>0</v>
      </c>
      <c r="D23" s="24"/>
    </row>
    <row r="24" spans="1:5" x14ac:dyDescent="0.25">
      <c r="A24" s="13" t="s">
        <v>190</v>
      </c>
      <c r="B24" s="10" t="s">
        <v>38</v>
      </c>
      <c r="C24" s="673">
        <f>'Input data'!C21</f>
        <v>0</v>
      </c>
      <c r="D24" s="24" t="s">
        <v>190</v>
      </c>
      <c r="E24" s="59"/>
    </row>
    <row r="25" spans="1:5" x14ac:dyDescent="0.25">
      <c r="A25" s="13" t="s">
        <v>1115</v>
      </c>
      <c r="B25" s="10" t="s">
        <v>165</v>
      </c>
      <c r="C25" s="673">
        <f>'Input data'!C22</f>
        <v>0</v>
      </c>
      <c r="D25" s="24" t="s">
        <v>1114</v>
      </c>
    </row>
    <row r="26" spans="1:5" x14ac:dyDescent="0.25">
      <c r="A26" s="13" t="s">
        <v>488</v>
      </c>
      <c r="B26" s="10" t="s">
        <v>69</v>
      </c>
      <c r="C26" s="673">
        <f>'Input data'!C23</f>
        <v>0</v>
      </c>
      <c r="D26" s="24"/>
    </row>
    <row r="27" spans="1:5" x14ac:dyDescent="0.25">
      <c r="A27" s="13" t="s">
        <v>174</v>
      </c>
      <c r="B27" s="10" t="s">
        <v>69</v>
      </c>
      <c r="C27" s="673">
        <f>'Input data'!C24</f>
        <v>0</v>
      </c>
      <c r="D27" s="24"/>
    </row>
    <row r="28" spans="1:5" x14ac:dyDescent="0.25">
      <c r="A28" s="13" t="s">
        <v>179</v>
      </c>
      <c r="B28" s="10" t="s">
        <v>69</v>
      </c>
      <c r="C28" s="673">
        <f>'Input data'!C25</f>
        <v>0</v>
      </c>
      <c r="D28" s="24"/>
    </row>
    <row r="29" spans="1:5" x14ac:dyDescent="0.25">
      <c r="A29" s="13" t="s">
        <v>163</v>
      </c>
      <c r="B29" s="10" t="s">
        <v>69</v>
      </c>
      <c r="C29" s="673">
        <f>'Input data'!C26</f>
        <v>0</v>
      </c>
      <c r="D29" s="24"/>
    </row>
    <row r="30" spans="1:5" x14ac:dyDescent="0.25">
      <c r="A30" s="13" t="s">
        <v>173</v>
      </c>
      <c r="B30" s="10" t="s">
        <v>69</v>
      </c>
      <c r="C30" s="673">
        <f>'Input data'!C27</f>
        <v>0</v>
      </c>
      <c r="D30" s="47"/>
    </row>
    <row r="31" spans="1:5" x14ac:dyDescent="0.25">
      <c r="A31" s="13" t="s">
        <v>339</v>
      </c>
      <c r="B31" s="10" t="s">
        <v>340</v>
      </c>
      <c r="C31" s="673">
        <f>'Input data'!C28</f>
        <v>0</v>
      </c>
      <c r="D31" s="136" t="s">
        <v>480</v>
      </c>
    </row>
    <row r="32" spans="1:5" ht="45" x14ac:dyDescent="0.25">
      <c r="A32" s="65" t="s">
        <v>360</v>
      </c>
      <c r="B32" s="10" t="s">
        <v>167</v>
      </c>
      <c r="C32" s="681">
        <f>'Input data'!C29</f>
        <v>0</v>
      </c>
      <c r="D32" s="135" t="s">
        <v>362</v>
      </c>
    </row>
    <row r="33" spans="1:4" x14ac:dyDescent="0.25">
      <c r="A33" s="18" t="s">
        <v>156</v>
      </c>
      <c r="B33" s="10" t="s">
        <v>161</v>
      </c>
      <c r="C33" s="673" t="e">
        <f>C20/C29</f>
        <v>#DIV/0!</v>
      </c>
      <c r="D33" s="24" t="s">
        <v>392</v>
      </c>
    </row>
    <row r="34" spans="1:4" s="59" customFormat="1" ht="30" x14ac:dyDescent="0.25">
      <c r="A34" s="18" t="s">
        <v>1116</v>
      </c>
      <c r="B34" s="30" t="s">
        <v>1118</v>
      </c>
      <c r="C34" s="673" t="e">
        <f>C25/C20*1000</f>
        <v>#DIV/0!</v>
      </c>
      <c r="D34" s="135" t="s">
        <v>1117</v>
      </c>
    </row>
    <row r="35" spans="1:4" x14ac:dyDescent="0.25">
      <c r="A35" s="18" t="s">
        <v>168</v>
      </c>
      <c r="B35" s="17" t="s">
        <v>167</v>
      </c>
      <c r="C35" s="674" t="e">
        <f>C21/C24</f>
        <v>#DIV/0!</v>
      </c>
      <c r="D35" s="24" t="s">
        <v>393</v>
      </c>
    </row>
    <row r="36" spans="1:4" x14ac:dyDescent="0.25">
      <c r="A36" s="18" t="s">
        <v>169</v>
      </c>
      <c r="B36" s="17" t="s">
        <v>167</v>
      </c>
      <c r="C36" s="682" t="e">
        <f>(C26/C30)</f>
        <v>#DIV/0!</v>
      </c>
      <c r="D36" s="24" t="s">
        <v>395</v>
      </c>
    </row>
    <row r="37" spans="1:4" x14ac:dyDescent="0.25">
      <c r="A37" s="18" t="s">
        <v>177</v>
      </c>
      <c r="B37" s="17" t="s">
        <v>167</v>
      </c>
      <c r="C37" s="682" t="e">
        <f>(C27/C30)</f>
        <v>#DIV/0!</v>
      </c>
      <c r="D37" s="24" t="s">
        <v>394</v>
      </c>
    </row>
    <row r="38" spans="1:4" x14ac:dyDescent="0.25">
      <c r="A38" s="13" t="s">
        <v>491</v>
      </c>
      <c r="B38" s="10"/>
      <c r="C38" s="683" t="e">
        <f>C22/C23</f>
        <v>#DIV/0!</v>
      </c>
      <c r="D38" s="135"/>
    </row>
    <row r="39" spans="1:4" x14ac:dyDescent="0.25">
      <c r="A39" s="18" t="s">
        <v>492</v>
      </c>
      <c r="B39" s="17" t="s">
        <v>70</v>
      </c>
      <c r="C39" s="682" t="e">
        <f>(C28/C30)</f>
        <v>#DIV/0!</v>
      </c>
      <c r="D39" s="47"/>
    </row>
    <row r="40" spans="1:4" ht="45.75" thickBot="1" x14ac:dyDescent="0.3">
      <c r="A40" s="19" t="s">
        <v>178</v>
      </c>
      <c r="B40" s="15"/>
      <c r="C40" s="684" t="e">
        <f>IF(AND(C38=1, C39&gt;0.3), "Option 1", IF(AND(C38&gt;1, C39&gt;0.3), "Option 2", "Option 3"))</f>
        <v>#DIV/0!</v>
      </c>
      <c r="D40" s="137" t="s">
        <v>493</v>
      </c>
    </row>
    <row r="41" spans="1:4" ht="15.75" thickBot="1" x14ac:dyDescent="0.3"/>
    <row r="42" spans="1:4" ht="15.75" thickBot="1" x14ac:dyDescent="0.3">
      <c r="A42" s="822" t="s">
        <v>341</v>
      </c>
      <c r="B42" s="823"/>
      <c r="C42" s="823"/>
      <c r="D42" s="824"/>
    </row>
    <row r="43" spans="1:4" x14ac:dyDescent="0.25">
      <c r="A43" s="11" t="s">
        <v>1668</v>
      </c>
      <c r="B43" s="12" t="s">
        <v>38</v>
      </c>
      <c r="C43" s="680" t="e">
        <f>'Input data'!C32</f>
        <v>#DIV/0!</v>
      </c>
      <c r="D43" s="138"/>
    </row>
    <row r="44" spans="1:4" x14ac:dyDescent="0.25">
      <c r="A44" s="13" t="s">
        <v>79</v>
      </c>
      <c r="B44" s="10" t="s">
        <v>38</v>
      </c>
      <c r="C44" s="673" t="e">
        <f>'Input data'!C33</f>
        <v>#DIV/0!</v>
      </c>
      <c r="D44" s="24" t="s">
        <v>399</v>
      </c>
    </row>
    <row r="45" spans="1:4" x14ac:dyDescent="0.25">
      <c r="A45" s="13" t="s">
        <v>86</v>
      </c>
      <c r="B45" s="10" t="s">
        <v>38</v>
      </c>
      <c r="C45" s="673">
        <f>'Input data'!C34</f>
        <v>0</v>
      </c>
      <c r="D45" s="24" t="s">
        <v>398</v>
      </c>
    </row>
    <row r="46" spans="1:4" x14ac:dyDescent="0.25">
      <c r="A46" s="13" t="s">
        <v>209</v>
      </c>
      <c r="B46" s="10" t="s">
        <v>38</v>
      </c>
      <c r="C46" s="673">
        <f>'Input data'!C35</f>
        <v>0</v>
      </c>
      <c r="D46" s="24" t="s">
        <v>400</v>
      </c>
    </row>
    <row r="47" spans="1:4" x14ac:dyDescent="0.25">
      <c r="A47" s="13" t="s">
        <v>138</v>
      </c>
      <c r="B47" s="10" t="s">
        <v>38</v>
      </c>
      <c r="C47" s="673">
        <f>'Input data'!C36</f>
        <v>0</v>
      </c>
      <c r="D47" s="132" t="s">
        <v>401</v>
      </c>
    </row>
    <row r="48" spans="1:4" x14ac:dyDescent="0.25">
      <c r="A48" s="13" t="s">
        <v>90</v>
      </c>
      <c r="B48" s="10"/>
      <c r="C48" s="688">
        <f>'Input data'!C37</f>
        <v>0</v>
      </c>
      <c r="D48" s="24" t="s">
        <v>402</v>
      </c>
    </row>
    <row r="49" spans="1:4" ht="30" x14ac:dyDescent="0.25">
      <c r="A49" s="13" t="s">
        <v>91</v>
      </c>
      <c r="B49" s="10"/>
      <c r="C49" s="686" t="e">
        <f>'Input data'!C38</f>
        <v>#NUM!</v>
      </c>
      <c r="D49" s="135" t="s">
        <v>403</v>
      </c>
    </row>
    <row r="50" spans="1:4" x14ac:dyDescent="0.25">
      <c r="A50" s="13" t="s">
        <v>496</v>
      </c>
      <c r="B50" s="10" t="s">
        <v>38</v>
      </c>
      <c r="C50" s="673">
        <f>IF('Input data'!C39&lt;&gt;0,'Input data'!C39,C52)</f>
        <v>0</v>
      </c>
      <c r="D50" s="47"/>
    </row>
    <row r="51" spans="1:4" ht="15" customHeight="1" x14ac:dyDescent="0.25">
      <c r="A51" s="13" t="s">
        <v>509</v>
      </c>
      <c r="B51" s="10" t="s">
        <v>38</v>
      </c>
      <c r="C51" s="689">
        <f>'Input data'!C40</f>
        <v>0</v>
      </c>
      <c r="D51" s="139" t="s">
        <v>404</v>
      </c>
    </row>
    <row r="52" spans="1:4" x14ac:dyDescent="0.25">
      <c r="A52" s="13" t="s">
        <v>1086</v>
      </c>
      <c r="B52" s="10" t="s">
        <v>38</v>
      </c>
      <c r="C52" s="679">
        <f>'Sheet 1'!C11</f>
        <v>0</v>
      </c>
      <c r="D52" s="24"/>
    </row>
    <row r="53" spans="1:4" x14ac:dyDescent="0.25">
      <c r="A53" s="13" t="s">
        <v>349</v>
      </c>
      <c r="B53" s="10" t="s">
        <v>72</v>
      </c>
      <c r="C53" s="679" t="e">
        <f>'Sheet 1'!C10</f>
        <v>#DIV/0!</v>
      </c>
      <c r="D53" s="24"/>
    </row>
    <row r="54" spans="1:4" x14ac:dyDescent="0.25">
      <c r="A54" s="13" t="s">
        <v>39</v>
      </c>
      <c r="B54" s="10" t="s">
        <v>38</v>
      </c>
      <c r="C54" s="674">
        <f>C21*C29*12</f>
        <v>0</v>
      </c>
      <c r="D54" s="24" t="s">
        <v>397</v>
      </c>
    </row>
    <row r="55" spans="1:4" x14ac:dyDescent="0.25">
      <c r="A55" s="13" t="s">
        <v>134</v>
      </c>
      <c r="B55" s="10" t="s">
        <v>38</v>
      </c>
      <c r="C55" s="685">
        <f>MAX('Sheet 1'!H16:H27)</f>
        <v>0</v>
      </c>
      <c r="D55" s="24"/>
    </row>
    <row r="56" spans="1:4" x14ac:dyDescent="0.25">
      <c r="A56" s="18" t="s">
        <v>30</v>
      </c>
      <c r="B56" s="17" t="s">
        <v>69</v>
      </c>
      <c r="C56" s="674" t="e">
        <f>C43/C54</f>
        <v>#DIV/0!</v>
      </c>
      <c r="D56" s="24" t="s">
        <v>405</v>
      </c>
    </row>
    <row r="57" spans="1:4" x14ac:dyDescent="0.25">
      <c r="A57" s="18" t="s">
        <v>1104</v>
      </c>
      <c r="B57" s="17" t="s">
        <v>72</v>
      </c>
      <c r="C57" s="674" t="e">
        <f>C54/C6</f>
        <v>#DIV/0!</v>
      </c>
      <c r="D57" s="24" t="s">
        <v>406</v>
      </c>
    </row>
    <row r="58" spans="1:4" x14ac:dyDescent="0.25">
      <c r="A58" s="18" t="s">
        <v>1105</v>
      </c>
      <c r="B58" s="17" t="s">
        <v>72</v>
      </c>
      <c r="C58" s="674" t="e">
        <f>C45/C6</f>
        <v>#DIV/0!</v>
      </c>
      <c r="D58" s="24" t="s">
        <v>407</v>
      </c>
    </row>
    <row r="59" spans="1:4" x14ac:dyDescent="0.25">
      <c r="A59" s="18" t="s">
        <v>1106</v>
      </c>
      <c r="B59" s="17" t="s">
        <v>72</v>
      </c>
      <c r="C59" s="674" t="e">
        <f>C51/C6</f>
        <v>#DIV/0!</v>
      </c>
      <c r="D59" s="24" t="s">
        <v>408</v>
      </c>
    </row>
    <row r="60" spans="1:4" x14ac:dyDescent="0.25">
      <c r="A60" s="18" t="s">
        <v>351</v>
      </c>
      <c r="B60" s="17" t="s">
        <v>70</v>
      </c>
      <c r="C60" s="686" t="e">
        <f>IF(C50&lt;&gt;0,C55/C52,IF(C50&lt;&gt;0,C55/C52,C55/C50))</f>
        <v>#DIV/0!</v>
      </c>
      <c r="D60" s="24" t="s">
        <v>409</v>
      </c>
    </row>
    <row r="61" spans="1:4" x14ac:dyDescent="0.25">
      <c r="A61" s="18" t="s">
        <v>137</v>
      </c>
      <c r="B61" s="17" t="s">
        <v>70</v>
      </c>
      <c r="C61" s="686" t="e">
        <f>IF(C50&lt;&gt;"",C47/C50,IF(C50&lt;&gt;0,C47/C50,C47/C52))</f>
        <v>#DIV/0!</v>
      </c>
      <c r="D61" s="24" t="s">
        <v>410</v>
      </c>
    </row>
    <row r="62" spans="1:4" ht="15.75" thickBot="1" x14ac:dyDescent="0.3">
      <c r="A62" s="19" t="s">
        <v>1107</v>
      </c>
      <c r="B62" s="20" t="s">
        <v>72</v>
      </c>
      <c r="C62" s="687" t="e">
        <f>C44/C6</f>
        <v>#DIV/0!</v>
      </c>
      <c r="D62" s="25" t="s">
        <v>440</v>
      </c>
    </row>
    <row r="63" spans="1:4" ht="15.75" thickBot="1" x14ac:dyDescent="0.3">
      <c r="A63" s="28"/>
    </row>
    <row r="64" spans="1:4" ht="15.75" thickBot="1" x14ac:dyDescent="0.3">
      <c r="A64" s="822" t="s">
        <v>343</v>
      </c>
      <c r="B64" s="823"/>
      <c r="C64" s="823"/>
      <c r="D64" s="824"/>
    </row>
    <row r="65" spans="1:4" x14ac:dyDescent="0.25">
      <c r="A65" s="11" t="s">
        <v>97</v>
      </c>
      <c r="B65" s="12" t="s">
        <v>69</v>
      </c>
      <c r="C65" s="680">
        <f>'Input data'!C43</f>
        <v>0</v>
      </c>
      <c r="D65" s="23" t="s">
        <v>411</v>
      </c>
    </row>
    <row r="66" spans="1:4" x14ac:dyDescent="0.25">
      <c r="A66" s="13" t="s">
        <v>240</v>
      </c>
      <c r="B66" s="10" t="s">
        <v>70</v>
      </c>
      <c r="C66" s="682">
        <f>'Input data'!C44</f>
        <v>0</v>
      </c>
      <c r="D66" s="24" t="s">
        <v>412</v>
      </c>
    </row>
    <row r="67" spans="1:4" x14ac:dyDescent="0.25">
      <c r="A67" s="13" t="s">
        <v>222</v>
      </c>
      <c r="B67" s="10" t="s">
        <v>21</v>
      </c>
      <c r="C67" s="673">
        <f>'Input data'!C45</f>
        <v>0</v>
      </c>
      <c r="D67" s="24" t="s">
        <v>413</v>
      </c>
    </row>
    <row r="68" spans="1:4" x14ac:dyDescent="0.25">
      <c r="A68" s="13" t="s">
        <v>223</v>
      </c>
      <c r="B68" s="10" t="s">
        <v>21</v>
      </c>
      <c r="C68" s="673">
        <f>'Input data'!C46</f>
        <v>0</v>
      </c>
      <c r="D68" s="24" t="s">
        <v>414</v>
      </c>
    </row>
    <row r="69" spans="1:4" x14ac:dyDescent="0.25">
      <c r="A69" s="13" t="s">
        <v>224</v>
      </c>
      <c r="B69" s="10" t="s">
        <v>228</v>
      </c>
      <c r="C69" s="673">
        <f>'Input data'!C47</f>
        <v>0</v>
      </c>
      <c r="D69" s="24" t="s">
        <v>415</v>
      </c>
    </row>
    <row r="70" spans="1:4" x14ac:dyDescent="0.25">
      <c r="A70" s="13" t="s">
        <v>241</v>
      </c>
      <c r="B70" s="10" t="s">
        <v>70</v>
      </c>
      <c r="C70" s="682">
        <f>'Input data'!C48</f>
        <v>0</v>
      </c>
      <c r="D70" s="24"/>
    </row>
    <row r="71" spans="1:4" x14ac:dyDescent="0.25">
      <c r="A71" s="13" t="s">
        <v>330</v>
      </c>
      <c r="B71" s="10" t="s">
        <v>70</v>
      </c>
      <c r="C71" s="690" t="e">
        <f>'Input data'!C49</f>
        <v>#DIV/0!</v>
      </c>
      <c r="D71" s="24" t="s">
        <v>416</v>
      </c>
    </row>
    <row r="72" spans="1:4" x14ac:dyDescent="0.25">
      <c r="A72" s="13" t="s">
        <v>331</v>
      </c>
      <c r="B72" s="10" t="s">
        <v>70</v>
      </c>
      <c r="C72" s="682">
        <f>'Input data'!C50</f>
        <v>0.18</v>
      </c>
      <c r="D72" s="24" t="s">
        <v>417</v>
      </c>
    </row>
    <row r="73" spans="1:4" x14ac:dyDescent="0.25">
      <c r="A73" s="13" t="s">
        <v>262</v>
      </c>
      <c r="B73" s="10" t="s">
        <v>70</v>
      </c>
      <c r="C73" s="682">
        <f>'Input data'!C51</f>
        <v>0</v>
      </c>
      <c r="D73" s="24" t="s">
        <v>418</v>
      </c>
    </row>
    <row r="74" spans="1:4" s="59" customFormat="1" x14ac:dyDescent="0.25">
      <c r="A74" s="13" t="s">
        <v>1077</v>
      </c>
      <c r="B74" s="10" t="s">
        <v>21</v>
      </c>
      <c r="C74" s="679">
        <f>'Input data'!C52</f>
        <v>0</v>
      </c>
      <c r="D74" s="24" t="s">
        <v>1081</v>
      </c>
    </row>
    <row r="75" spans="1:4" s="59" customFormat="1" x14ac:dyDescent="0.25">
      <c r="A75" s="13" t="s">
        <v>1078</v>
      </c>
      <c r="B75" s="10" t="s">
        <v>21</v>
      </c>
      <c r="C75" s="691">
        <f>'Input data'!C53</f>
        <v>0</v>
      </c>
      <c r="D75" s="24" t="s">
        <v>1082</v>
      </c>
    </row>
    <row r="76" spans="1:4" x14ac:dyDescent="0.25">
      <c r="A76" s="13" t="s">
        <v>268</v>
      </c>
      <c r="B76" s="10" t="s">
        <v>21</v>
      </c>
      <c r="C76" s="674">
        <f>C74+C75</f>
        <v>0</v>
      </c>
      <c r="D76" s="24" t="s">
        <v>510</v>
      </c>
    </row>
    <row r="77" spans="1:4" x14ac:dyDescent="0.25">
      <c r="A77" s="13" t="s">
        <v>506</v>
      </c>
      <c r="B77" s="10" t="s">
        <v>21</v>
      </c>
      <c r="C77" s="691">
        <f>'Input data'!C54</f>
        <v>0</v>
      </c>
      <c r="D77" s="139" t="s">
        <v>507</v>
      </c>
    </row>
    <row r="78" spans="1:4" s="59" customFormat="1" x14ac:dyDescent="0.25">
      <c r="A78" s="13" t="s">
        <v>264</v>
      </c>
      <c r="B78" s="10" t="s">
        <v>69</v>
      </c>
      <c r="C78" s="682" t="e">
        <f>C77/C76</f>
        <v>#DIV/0!</v>
      </c>
      <c r="D78" s="47"/>
    </row>
    <row r="79" spans="1:4" x14ac:dyDescent="0.25">
      <c r="A79" s="13" t="s">
        <v>284</v>
      </c>
      <c r="B79" s="10" t="s">
        <v>70</v>
      </c>
      <c r="C79" s="692">
        <f>'Input data'!C55</f>
        <v>0</v>
      </c>
      <c r="D79" s="24"/>
    </row>
    <row r="80" spans="1:4" ht="15.75" thickBot="1" x14ac:dyDescent="0.3">
      <c r="A80" s="22" t="s">
        <v>118</v>
      </c>
      <c r="B80" s="15" t="s">
        <v>69</v>
      </c>
      <c r="C80" s="693">
        <f>'Input data'!C56</f>
        <v>0</v>
      </c>
      <c r="D80" s="83"/>
    </row>
    <row r="81" spans="1:4" ht="15.75" thickBot="1" x14ac:dyDescent="0.3">
      <c r="A81" s="822" t="s">
        <v>342</v>
      </c>
      <c r="B81" s="823"/>
      <c r="C81" s="823"/>
      <c r="D81" s="824"/>
    </row>
    <row r="82" spans="1:4" x14ac:dyDescent="0.25">
      <c r="A82" s="11" t="s">
        <v>243</v>
      </c>
      <c r="B82" s="50" t="s">
        <v>288</v>
      </c>
      <c r="C82" s="680">
        <f>'Input data'!C58</f>
        <v>0</v>
      </c>
      <c r="D82" s="140" t="s">
        <v>425</v>
      </c>
    </row>
    <row r="83" spans="1:4" x14ac:dyDescent="0.25">
      <c r="A83" s="13" t="s">
        <v>248</v>
      </c>
      <c r="B83" s="49" t="s">
        <v>420</v>
      </c>
      <c r="C83" s="673">
        <f>'Input data'!C59</f>
        <v>0</v>
      </c>
      <c r="D83" s="139" t="s">
        <v>426</v>
      </c>
    </row>
    <row r="84" spans="1:4" x14ac:dyDescent="0.25">
      <c r="A84" s="13" t="s">
        <v>229</v>
      </c>
      <c r="B84" s="49" t="s">
        <v>422</v>
      </c>
      <c r="C84" s="673">
        <f>'Input data'!C60</f>
        <v>0</v>
      </c>
      <c r="D84" s="139" t="s">
        <v>427</v>
      </c>
    </row>
    <row r="85" spans="1:4" x14ac:dyDescent="0.25">
      <c r="A85" s="13" t="s">
        <v>231</v>
      </c>
      <c r="B85" s="49" t="s">
        <v>421</v>
      </c>
      <c r="C85" s="673">
        <f>'Input data'!C61</f>
        <v>0</v>
      </c>
      <c r="D85" s="139" t="s">
        <v>428</v>
      </c>
    </row>
    <row r="86" spans="1:4" x14ac:dyDescent="0.25">
      <c r="A86" s="13" t="s">
        <v>232</v>
      </c>
      <c r="B86" s="49" t="s">
        <v>423</v>
      </c>
      <c r="C86" s="673">
        <f>'Input data'!C62</f>
        <v>0</v>
      </c>
      <c r="D86" s="139" t="s">
        <v>429</v>
      </c>
    </row>
    <row r="87" spans="1:4" x14ac:dyDescent="0.25">
      <c r="A87" s="13" t="s">
        <v>253</v>
      </c>
      <c r="B87" s="49" t="s">
        <v>228</v>
      </c>
      <c r="C87" s="673">
        <f>'Input data'!C63</f>
        <v>0</v>
      </c>
      <c r="D87" s="139" t="s">
        <v>430</v>
      </c>
    </row>
    <row r="88" spans="1:4" ht="15.75" thickBot="1" x14ac:dyDescent="0.3">
      <c r="A88" s="14" t="s">
        <v>255</v>
      </c>
      <c r="B88" s="52" t="s">
        <v>424</v>
      </c>
      <c r="C88" s="694">
        <f>'Input data'!C64</f>
        <v>0</v>
      </c>
      <c r="D88" s="141" t="s">
        <v>431</v>
      </c>
    </row>
    <row r="89" spans="1:4" ht="15.75" thickBot="1" x14ac:dyDescent="0.3"/>
    <row r="90" spans="1:4" ht="15.75" thickBot="1" x14ac:dyDescent="0.3">
      <c r="A90" s="822" t="s">
        <v>345</v>
      </c>
      <c r="B90" s="823"/>
      <c r="C90" s="823"/>
      <c r="D90" s="824"/>
    </row>
    <row r="91" spans="1:4" x14ac:dyDescent="0.25">
      <c r="A91" s="32" t="s">
        <v>105</v>
      </c>
      <c r="B91" s="12" t="s">
        <v>69</v>
      </c>
      <c r="C91" s="699">
        <f>'Input data'!C67</f>
        <v>0</v>
      </c>
      <c r="D91" s="142" t="s">
        <v>432</v>
      </c>
    </row>
    <row r="92" spans="1:4" x14ac:dyDescent="0.25">
      <c r="A92" s="13" t="s">
        <v>52</v>
      </c>
      <c r="B92" s="10" t="s">
        <v>71</v>
      </c>
      <c r="C92" s="678">
        <f>'Input data'!C68</f>
        <v>0</v>
      </c>
      <c r="D92" s="139" t="s">
        <v>1073</v>
      </c>
    </row>
    <row r="93" spans="1:4" ht="46.15" customHeight="1" x14ac:dyDescent="0.25">
      <c r="A93" s="18" t="s">
        <v>352</v>
      </c>
      <c r="B93" s="10"/>
      <c r="C93" s="697">
        <f>'Input data'!C69</f>
        <v>0</v>
      </c>
      <c r="D93" s="135" t="s">
        <v>364</v>
      </c>
    </row>
    <row r="94" spans="1:4" x14ac:dyDescent="0.25">
      <c r="A94" s="18" t="s">
        <v>363</v>
      </c>
      <c r="B94" s="10" t="s">
        <v>70</v>
      </c>
      <c r="C94" s="686">
        <f>'Input data'!C70</f>
        <v>0</v>
      </c>
      <c r="D94" s="24" t="s">
        <v>183</v>
      </c>
    </row>
    <row r="95" spans="1:4" ht="72" customHeight="1" x14ac:dyDescent="0.25">
      <c r="A95" s="18" t="s">
        <v>206</v>
      </c>
      <c r="B95" s="10" t="s">
        <v>167</v>
      </c>
      <c r="C95" s="697">
        <f>'Input data'!C71</f>
        <v>0</v>
      </c>
      <c r="D95" s="135" t="s">
        <v>368</v>
      </c>
    </row>
    <row r="96" spans="1:4" ht="30" x14ac:dyDescent="0.25">
      <c r="A96" s="18" t="s">
        <v>269</v>
      </c>
      <c r="B96" s="10"/>
      <c r="C96" s="697">
        <f>'Input data'!C72</f>
        <v>0</v>
      </c>
      <c r="D96" s="135" t="s">
        <v>376</v>
      </c>
    </row>
    <row r="97" spans="1:4" x14ac:dyDescent="0.25">
      <c r="A97" s="18" t="s">
        <v>460</v>
      </c>
      <c r="B97" s="10" t="s">
        <v>69</v>
      </c>
      <c r="C97" s="698">
        <f>'Input data'!C73</f>
        <v>0</v>
      </c>
      <c r="D97" s="143" t="s">
        <v>497</v>
      </c>
    </row>
    <row r="98" spans="1:4" x14ac:dyDescent="0.25">
      <c r="A98" s="18" t="s">
        <v>1074</v>
      </c>
      <c r="B98" s="10" t="s">
        <v>365</v>
      </c>
      <c r="C98" s="698">
        <f>'Input data'!C74</f>
        <v>0</v>
      </c>
      <c r="D98" s="139" t="s">
        <v>1075</v>
      </c>
    </row>
    <row r="99" spans="1:4" x14ac:dyDescent="0.25">
      <c r="A99" s="18" t="s">
        <v>328</v>
      </c>
      <c r="B99" s="10" t="s">
        <v>1108</v>
      </c>
      <c r="C99" s="695" t="e">
        <f>C9/C29</f>
        <v>#DIV/0!</v>
      </c>
      <c r="D99" s="24" t="s">
        <v>433</v>
      </c>
    </row>
    <row r="100" spans="1:4" x14ac:dyDescent="0.25">
      <c r="A100" s="18" t="s">
        <v>366</v>
      </c>
      <c r="B100" s="10" t="s">
        <v>69</v>
      </c>
      <c r="C100" s="695" t="e">
        <f>IF(C50&lt;&gt;"",(C50/C6)/(C24/1000),IF(C50&lt;&gt;0,(C50/C6)/(C24/1000),(C52/C6)/(C24/1000)))</f>
        <v>#DIV/0!</v>
      </c>
      <c r="D100" s="24" t="s">
        <v>434</v>
      </c>
    </row>
    <row r="101" spans="1:4" x14ac:dyDescent="0.25">
      <c r="A101" s="18" t="s">
        <v>367</v>
      </c>
      <c r="B101" s="10" t="s">
        <v>201</v>
      </c>
      <c r="C101" s="695" t="e">
        <f>IF(C50&lt;&gt;"",(C29/C50)*100000,IF(C50&lt;&gt;0,(C29/C50)*100000,(C29/C52)*100000))</f>
        <v>#DIV/0!</v>
      </c>
      <c r="D101" s="24" t="s">
        <v>435</v>
      </c>
    </row>
    <row r="102" spans="1:4" x14ac:dyDescent="0.25">
      <c r="A102" s="18" t="s">
        <v>1110</v>
      </c>
      <c r="B102" s="10" t="s">
        <v>72</v>
      </c>
      <c r="C102" s="695" t="e">
        <f>C46/C6</f>
        <v>#DIV/0!</v>
      </c>
      <c r="D102" s="24" t="s">
        <v>1109</v>
      </c>
    </row>
    <row r="103" spans="1:4" x14ac:dyDescent="0.25">
      <c r="A103" s="18" t="s">
        <v>374</v>
      </c>
      <c r="B103" s="10" t="s">
        <v>372</v>
      </c>
      <c r="C103" s="695" t="e">
        <f>C67/(C5/1000)</f>
        <v>#DIV/0!</v>
      </c>
      <c r="D103" s="24" t="s">
        <v>436</v>
      </c>
    </row>
    <row r="104" spans="1:4" x14ac:dyDescent="0.25">
      <c r="A104" s="18" t="s">
        <v>373</v>
      </c>
      <c r="B104" s="10" t="s">
        <v>372</v>
      </c>
      <c r="C104" s="695" t="e">
        <f>C68/(C5/1000)</f>
        <v>#DIV/0!</v>
      </c>
      <c r="D104" s="24" t="s">
        <v>437</v>
      </c>
    </row>
    <row r="105" spans="1:4" ht="15.75" thickBot="1" x14ac:dyDescent="0.3">
      <c r="A105" s="19" t="s">
        <v>224</v>
      </c>
      <c r="B105" s="15" t="s">
        <v>375</v>
      </c>
      <c r="C105" s="696" t="e">
        <f>C69/(C5/1000)</f>
        <v>#DIV/0!</v>
      </c>
      <c r="D105" s="25" t="s">
        <v>438</v>
      </c>
    </row>
  </sheetData>
  <mergeCells count="6">
    <mergeCell ref="A90:D90"/>
    <mergeCell ref="A3:D3"/>
    <mergeCell ref="A19:D19"/>
    <mergeCell ref="A42:D42"/>
    <mergeCell ref="A64:D64"/>
    <mergeCell ref="A81:D81"/>
  </mergeCells>
  <dataValidations count="3">
    <dataValidation type="list" allowBlank="1" showInputMessage="1" showErrorMessage="1" sqref="C31" xr:uid="{83CF65CC-AF5C-4D42-9E0C-A3E10500B473}">
      <formula1>"Yes,No"</formula1>
    </dataValidation>
    <dataValidation type="list" allowBlank="1" showInputMessage="1" showErrorMessage="1" sqref="C93 C32 C95:C96" xr:uid="{8232BFB4-7D3E-4E93-ABC8-9A92D973B1C3}">
      <formula1>"Option 1, Option 2, Option 3"</formula1>
    </dataValidation>
    <dataValidation type="list" allowBlank="1" showInputMessage="1" showErrorMessage="1" sqref="C96" xr:uid="{DDB6285C-0E58-4944-8642-6588FB347DAB}">
      <formula1>"Option 1, Option 2"</formula1>
    </dataValidation>
  </dataValidations>
  <pageMargins left="0.25" right="0.25" top="0.75" bottom="0.75" header="0.3" footer="0.3"/>
  <pageSetup paperSize="9" scale="35"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40184-3A40-40FB-926E-4CA2C0C54A45}">
  <sheetPr codeName="Feuil4">
    <tabColor theme="2" tint="-0.249977111117893"/>
    <pageSetUpPr fitToPage="1"/>
  </sheetPr>
  <dimension ref="A1:S206"/>
  <sheetViews>
    <sheetView topLeftCell="A31" zoomScale="85" zoomScaleNormal="85" workbookViewId="0">
      <pane xSplit="1" topLeftCell="D1" activePane="topRight" state="frozen"/>
      <selection activeCell="A118" sqref="A118"/>
      <selection pane="topRight" activeCell="J48" sqref="J48:J50"/>
    </sheetView>
  </sheetViews>
  <sheetFormatPr baseColWidth="10" defaultColWidth="10.7109375" defaultRowHeight="15" x14ac:dyDescent="0.25"/>
  <cols>
    <col min="1" max="1" width="29.42578125" customWidth="1"/>
    <col min="2" max="2" width="62.42578125" bestFit="1" customWidth="1"/>
    <col min="3" max="3" width="10.7109375" bestFit="1" customWidth="1"/>
    <col min="4" max="4" width="21.42578125" customWidth="1"/>
    <col min="5" max="5" width="17" customWidth="1"/>
    <col min="6" max="6" width="9.42578125" bestFit="1" customWidth="1"/>
    <col min="7" max="7" width="26.42578125" customWidth="1"/>
    <col min="8" max="8" width="18.42578125" style="61" bestFit="1" customWidth="1"/>
    <col min="9" max="9" width="31" bestFit="1" customWidth="1"/>
    <col min="10" max="10" width="27.42578125" bestFit="1" customWidth="1"/>
    <col min="11" max="11" width="21.42578125" bestFit="1" customWidth="1"/>
  </cols>
  <sheetData>
    <row r="1" spans="1:11" ht="18" thickBot="1" x14ac:dyDescent="0.35">
      <c r="A1" s="1" t="s">
        <v>0</v>
      </c>
      <c r="B1" s="1" t="s">
        <v>5</v>
      </c>
      <c r="C1" s="1" t="s">
        <v>7</v>
      </c>
      <c r="D1" s="1000" t="s">
        <v>2</v>
      </c>
      <c r="E1" s="1000"/>
      <c r="F1" s="1" t="s">
        <v>3</v>
      </c>
      <c r="G1" s="1" t="s">
        <v>321</v>
      </c>
      <c r="H1" s="74" t="s">
        <v>1056</v>
      </c>
      <c r="I1" s="1" t="s">
        <v>322</v>
      </c>
      <c r="J1" s="80" t="s">
        <v>1068</v>
      </c>
      <c r="K1" s="80" t="s">
        <v>1069</v>
      </c>
    </row>
    <row r="2" spans="1:11" ht="7.5" customHeight="1" thickTop="1" x14ac:dyDescent="0.25"/>
    <row r="3" spans="1:11" x14ac:dyDescent="0.25">
      <c r="A3" s="1001" t="s">
        <v>4</v>
      </c>
      <c r="B3" s="1004" t="s">
        <v>107</v>
      </c>
      <c r="C3" s="1004" t="s">
        <v>305</v>
      </c>
      <c r="D3" s="1007" t="e">
        <f>'Secondary data calculation'!C15</f>
        <v>#DIV/0!</v>
      </c>
      <c r="E3" s="1007"/>
      <c r="F3" s="3" t="s">
        <v>10</v>
      </c>
      <c r="G3" s="85" t="s">
        <v>19</v>
      </c>
      <c r="H3" s="87">
        <v>0.5</v>
      </c>
      <c r="I3" s="3"/>
      <c r="J3" s="1011" t="e">
        <f>IF(D3&gt;H7,F7,IF(D3&gt;H6,F6,IF(D3&gt;H5,F5,IF(D3&gt;H4,F4,IF(D3&lt;=H3,F3)))))</f>
        <v>#DIV/0!</v>
      </c>
      <c r="K3" s="939" t="s">
        <v>13</v>
      </c>
    </row>
    <row r="4" spans="1:11" x14ac:dyDescent="0.25">
      <c r="A4" s="1002"/>
      <c r="B4" s="1005"/>
      <c r="C4" s="1005"/>
      <c r="D4" s="1008"/>
      <c r="E4" s="1008"/>
      <c r="F4" s="4" t="s">
        <v>11</v>
      </c>
      <c r="G4" s="58" t="s">
        <v>18</v>
      </c>
      <c r="H4" s="89">
        <v>0.5</v>
      </c>
      <c r="I4" s="4"/>
      <c r="J4" s="1012"/>
      <c r="K4" s="1010"/>
    </row>
    <row r="5" spans="1:11" x14ac:dyDescent="0.25">
      <c r="A5" s="1002"/>
      <c r="B5" s="1005"/>
      <c r="C5" s="1005"/>
      <c r="D5" s="1008"/>
      <c r="E5" s="1008"/>
      <c r="F5" s="4" t="s">
        <v>12</v>
      </c>
      <c r="G5" s="58" t="s">
        <v>17</v>
      </c>
      <c r="H5" s="89">
        <v>1</v>
      </c>
      <c r="I5" s="4"/>
      <c r="J5" s="1012"/>
      <c r="K5" s="1010"/>
    </row>
    <row r="6" spans="1:11" x14ac:dyDescent="0.25">
      <c r="A6" s="1002"/>
      <c r="B6" s="1005"/>
      <c r="C6" s="1005"/>
      <c r="D6" s="1008"/>
      <c r="E6" s="1008"/>
      <c r="F6" s="4" t="s">
        <v>13</v>
      </c>
      <c r="G6" s="58" t="s">
        <v>16</v>
      </c>
      <c r="H6" s="89">
        <v>1.5</v>
      </c>
      <c r="I6" s="4"/>
      <c r="J6" s="1012"/>
      <c r="K6" s="1010"/>
    </row>
    <row r="7" spans="1:11" x14ac:dyDescent="0.25">
      <c r="A7" s="1003"/>
      <c r="B7" s="1006"/>
      <c r="C7" s="1006"/>
      <c r="D7" s="1009"/>
      <c r="E7" s="1009"/>
      <c r="F7" s="5" t="s">
        <v>14</v>
      </c>
      <c r="G7" s="86" t="s">
        <v>15</v>
      </c>
      <c r="H7" s="88">
        <v>5</v>
      </c>
      <c r="I7" s="5"/>
      <c r="J7" s="1013"/>
      <c r="K7" s="944"/>
    </row>
    <row r="8" spans="1:11" x14ac:dyDescent="0.25">
      <c r="A8" s="1001" t="s">
        <v>23</v>
      </c>
      <c r="B8" s="1004" t="s">
        <v>24</v>
      </c>
      <c r="C8" s="1004" t="s">
        <v>68</v>
      </c>
      <c r="D8" s="1007" t="e">
        <f>'Secondary data calculation'!C16</f>
        <v>#DIV/0!</v>
      </c>
      <c r="E8" s="1007"/>
      <c r="F8" s="3" t="s">
        <v>10</v>
      </c>
      <c r="G8" s="3" t="s">
        <v>25</v>
      </c>
      <c r="H8" s="75">
        <v>2.2000000000000002</v>
      </c>
      <c r="I8" s="3"/>
      <c r="J8" s="1014" t="e">
        <f>IF(D8&lt;H12,F12,IF(D8&lt;H11,F11,IF(D8&lt;H10,F10,IF(D8&lt;H9,F9,IF(D8&gt;=H8,F8)))))</f>
        <v>#DIV/0!</v>
      </c>
      <c r="K8" s="939" t="e">
        <f t="shared" ref="K8" si="0">J8</f>
        <v>#DIV/0!</v>
      </c>
    </row>
    <row r="9" spans="1:11" x14ac:dyDescent="0.25">
      <c r="A9" s="1002"/>
      <c r="B9" s="1005"/>
      <c r="C9" s="1005"/>
      <c r="D9" s="1008"/>
      <c r="E9" s="1008"/>
      <c r="F9" s="4" t="s">
        <v>11</v>
      </c>
      <c r="G9" s="4" t="s">
        <v>26</v>
      </c>
      <c r="H9" s="66">
        <v>2.2000000000000002</v>
      </c>
      <c r="I9" s="4"/>
      <c r="J9" s="1015"/>
      <c r="K9" s="1010"/>
    </row>
    <row r="10" spans="1:11" x14ac:dyDescent="0.25">
      <c r="A10" s="1002"/>
      <c r="B10" s="1005"/>
      <c r="C10" s="1005"/>
      <c r="D10" s="1008"/>
      <c r="E10" s="1008"/>
      <c r="F10" s="4" t="s">
        <v>12</v>
      </c>
      <c r="G10" s="4" t="s">
        <v>27</v>
      </c>
      <c r="H10" s="66">
        <v>1.8</v>
      </c>
      <c r="I10" s="27"/>
      <c r="J10" s="1015"/>
      <c r="K10" s="1010"/>
    </row>
    <row r="11" spans="1:11" x14ac:dyDescent="0.25">
      <c r="A11" s="1002"/>
      <c r="B11" s="1005"/>
      <c r="C11" s="1005"/>
      <c r="D11" s="1008"/>
      <c r="E11" s="1008"/>
      <c r="F11" s="4" t="s">
        <v>13</v>
      </c>
      <c r="G11" s="4" t="s">
        <v>28</v>
      </c>
      <c r="H11" s="76">
        <v>1.6</v>
      </c>
      <c r="I11" s="4"/>
      <c r="J11" s="1015"/>
      <c r="K11" s="1010"/>
    </row>
    <row r="12" spans="1:11" x14ac:dyDescent="0.25">
      <c r="A12" s="1003"/>
      <c r="B12" s="1006"/>
      <c r="C12" s="1006"/>
      <c r="D12" s="1009"/>
      <c r="E12" s="1009"/>
      <c r="F12" s="5" t="s">
        <v>14</v>
      </c>
      <c r="G12" s="5" t="s">
        <v>29</v>
      </c>
      <c r="H12" s="77">
        <v>1.3</v>
      </c>
      <c r="I12" s="5"/>
      <c r="J12" s="1016"/>
      <c r="K12" s="944"/>
    </row>
    <row r="13" spans="1:11" x14ac:dyDescent="0.25">
      <c r="A13" s="1001" t="s">
        <v>30</v>
      </c>
      <c r="B13" s="1004" t="s">
        <v>31</v>
      </c>
      <c r="C13" s="1004" t="s">
        <v>69</v>
      </c>
      <c r="D13" s="1020" t="e">
        <f>'Secondary data calculation'!C56</f>
        <v>#DIV/0!</v>
      </c>
      <c r="E13" s="1020"/>
      <c r="F13" s="3" t="s">
        <v>10</v>
      </c>
      <c r="G13" s="3" t="s">
        <v>32</v>
      </c>
      <c r="H13" s="75">
        <v>2</v>
      </c>
      <c r="I13" s="3"/>
      <c r="J13" s="1014" t="e">
        <f>IF(D13&lt;H17,F17,IF(D13&lt;H16,F16,IF(D13&lt;H15,F15,IF(D13&lt;H14,F14,IF(D13&gt;=H13,F13)))))</f>
        <v>#DIV/0!</v>
      </c>
      <c r="K13" s="939" t="e">
        <f t="shared" ref="K13" si="1">J13</f>
        <v>#DIV/0!</v>
      </c>
    </row>
    <row r="14" spans="1:11" x14ac:dyDescent="0.25">
      <c r="A14" s="1002"/>
      <c r="B14" s="1005"/>
      <c r="C14" s="1005"/>
      <c r="D14" s="1021"/>
      <c r="E14" s="1021"/>
      <c r="F14" s="4" t="s">
        <v>11</v>
      </c>
      <c r="G14" s="4" t="s">
        <v>33</v>
      </c>
      <c r="H14" s="66">
        <v>2</v>
      </c>
      <c r="I14" s="4"/>
      <c r="J14" s="1015"/>
      <c r="K14" s="1010"/>
    </row>
    <row r="15" spans="1:11" x14ac:dyDescent="0.25">
      <c r="A15" s="1002"/>
      <c r="B15" s="1005"/>
      <c r="C15" s="1005"/>
      <c r="D15" s="1021"/>
      <c r="E15" s="1021"/>
      <c r="F15" s="4" t="s">
        <v>12</v>
      </c>
      <c r="G15" s="4" t="s">
        <v>34</v>
      </c>
      <c r="H15" s="66">
        <v>1.5</v>
      </c>
      <c r="I15" s="4"/>
      <c r="J15" s="1015"/>
      <c r="K15" s="1010"/>
    </row>
    <row r="16" spans="1:11" x14ac:dyDescent="0.25">
      <c r="A16" s="1002"/>
      <c r="B16" s="1005"/>
      <c r="C16" s="1005"/>
      <c r="D16" s="1021"/>
      <c r="E16" s="1021"/>
      <c r="F16" s="4" t="s">
        <v>13</v>
      </c>
      <c r="G16" s="4" t="s">
        <v>35</v>
      </c>
      <c r="H16" s="76">
        <v>1.25</v>
      </c>
      <c r="I16" s="4"/>
      <c r="J16" s="1015"/>
      <c r="K16" s="1010"/>
    </row>
    <row r="17" spans="1:19" x14ac:dyDescent="0.25">
      <c r="A17" s="1003"/>
      <c r="B17" s="1006"/>
      <c r="C17" s="1006"/>
      <c r="D17" s="1022"/>
      <c r="E17" s="1022"/>
      <c r="F17" s="5" t="s">
        <v>14</v>
      </c>
      <c r="G17" s="5" t="s">
        <v>36</v>
      </c>
      <c r="H17" s="77">
        <v>1</v>
      </c>
      <c r="I17" s="5"/>
      <c r="J17" s="1016"/>
      <c r="K17" s="944"/>
    </row>
    <row r="18" spans="1:19" x14ac:dyDescent="0.25">
      <c r="A18" s="1001" t="s">
        <v>43</v>
      </c>
      <c r="B18" s="1004" t="s">
        <v>1093</v>
      </c>
      <c r="C18" s="1004" t="s">
        <v>70</v>
      </c>
      <c r="D18" s="1017" t="e">
        <f>'Secondary data calculation'!C17</f>
        <v>#DIV/0!</v>
      </c>
      <c r="E18" s="1017"/>
      <c r="F18" s="3" t="s">
        <v>10</v>
      </c>
      <c r="G18" s="3" t="s">
        <v>44</v>
      </c>
      <c r="H18" s="75">
        <v>0.4</v>
      </c>
      <c r="I18" s="3"/>
      <c r="J18" s="1014" t="e">
        <f>IF(D18&lt;H22,F22,IF(D18&lt;H21,F21,IF(D18&lt;H20,F20,IF(D18&lt;H19,F19,IF(D18&gt;=H18,F18)))))</f>
        <v>#DIV/0!</v>
      </c>
      <c r="K18" s="939" t="e">
        <f t="shared" ref="K18" si="2">J18</f>
        <v>#DIV/0!</v>
      </c>
    </row>
    <row r="19" spans="1:19" x14ac:dyDescent="0.25">
      <c r="A19" s="1002"/>
      <c r="B19" s="1005"/>
      <c r="C19" s="1005"/>
      <c r="D19" s="1018"/>
      <c r="E19" s="1018"/>
      <c r="F19" s="4" t="s">
        <v>11</v>
      </c>
      <c r="G19" s="4" t="s">
        <v>45</v>
      </c>
      <c r="H19" s="66">
        <v>0.4</v>
      </c>
      <c r="I19" s="4"/>
      <c r="J19" s="1015"/>
      <c r="K19" s="1010"/>
    </row>
    <row r="20" spans="1:19" x14ac:dyDescent="0.25">
      <c r="A20" s="1002"/>
      <c r="B20" s="1005"/>
      <c r="C20" s="1005"/>
      <c r="D20" s="1018"/>
      <c r="E20" s="1018"/>
      <c r="F20" s="4" t="s">
        <v>12</v>
      </c>
      <c r="G20" s="4" t="s">
        <v>46</v>
      </c>
      <c r="H20" s="66">
        <v>0.3</v>
      </c>
      <c r="I20" s="4"/>
      <c r="J20" s="1015"/>
      <c r="K20" s="1010"/>
    </row>
    <row r="21" spans="1:19" x14ac:dyDescent="0.25">
      <c r="A21" s="1002"/>
      <c r="B21" s="1005"/>
      <c r="C21" s="1005"/>
      <c r="D21" s="1018"/>
      <c r="E21" s="1018"/>
      <c r="F21" s="4" t="s">
        <v>13</v>
      </c>
      <c r="G21" s="4" t="s">
        <v>47</v>
      </c>
      <c r="H21" s="76">
        <v>0.2</v>
      </c>
      <c r="I21" s="4"/>
      <c r="J21" s="1015"/>
      <c r="K21" s="1010"/>
    </row>
    <row r="22" spans="1:19" x14ac:dyDescent="0.25">
      <c r="A22" s="1003"/>
      <c r="B22" s="1006"/>
      <c r="C22" s="1006"/>
      <c r="D22" s="1019"/>
      <c r="E22" s="1019"/>
      <c r="F22" s="5" t="s">
        <v>14</v>
      </c>
      <c r="G22" s="5" t="s">
        <v>48</v>
      </c>
      <c r="H22" s="77">
        <v>0.1</v>
      </c>
      <c r="I22" s="5"/>
      <c r="J22" s="1016"/>
      <c r="K22" s="944"/>
    </row>
    <row r="23" spans="1:19" ht="15" customHeight="1" x14ac:dyDescent="0.25">
      <c r="A23" s="1001" t="s">
        <v>52</v>
      </c>
      <c r="B23" s="1004" t="s">
        <v>1054</v>
      </c>
      <c r="C23" s="1004" t="s">
        <v>1070</v>
      </c>
      <c r="D23" s="1023">
        <f>'Secondary data calculation'!C92</f>
        <v>0</v>
      </c>
      <c r="E23" s="1023"/>
      <c r="F23" s="62" t="s">
        <v>10</v>
      </c>
      <c r="G23" s="62" t="s">
        <v>1049</v>
      </c>
      <c r="H23" s="75">
        <v>25</v>
      </c>
      <c r="I23" s="62"/>
      <c r="J23" s="1014" t="str">
        <f>IF(D23&lt;H27,F27,IF(D23&lt;H26,F26,IF(D23&lt;H25,F25,IF(D23&lt;H24,F24,IF(D23&gt;=H23,F23)))))</f>
        <v>Very Low</v>
      </c>
      <c r="K23" s="939" t="str">
        <f t="shared" ref="K23" si="3">J23</f>
        <v>Very Low</v>
      </c>
    </row>
    <row r="24" spans="1:19" x14ac:dyDescent="0.25">
      <c r="A24" s="1002"/>
      <c r="B24" s="1005"/>
      <c r="C24" s="1005"/>
      <c r="D24" s="1024"/>
      <c r="E24" s="1024"/>
      <c r="F24" s="4" t="s">
        <v>11</v>
      </c>
      <c r="G24" s="4" t="s">
        <v>1050</v>
      </c>
      <c r="H24" s="66">
        <v>25</v>
      </c>
      <c r="I24" s="4"/>
      <c r="J24" s="1015"/>
      <c r="K24" s="1010"/>
    </row>
    <row r="25" spans="1:19" x14ac:dyDescent="0.25">
      <c r="A25" s="1002"/>
      <c r="B25" s="1005"/>
      <c r="C25" s="1005"/>
      <c r="D25" s="1024"/>
      <c r="E25" s="1024"/>
      <c r="F25" s="4" t="s">
        <v>12</v>
      </c>
      <c r="G25" s="4" t="s">
        <v>1051</v>
      </c>
      <c r="H25" s="66">
        <v>20</v>
      </c>
      <c r="I25" s="4"/>
      <c r="J25" s="1015"/>
      <c r="K25" s="1010"/>
    </row>
    <row r="26" spans="1:19" ht="15" customHeight="1" x14ac:dyDescent="0.25">
      <c r="A26" s="1002"/>
      <c r="B26" s="1005"/>
      <c r="C26" s="1005"/>
      <c r="D26" s="1024"/>
      <c r="E26" s="1024"/>
      <c r="F26" s="4" t="s">
        <v>13</v>
      </c>
      <c r="G26" s="4" t="s">
        <v>1052</v>
      </c>
      <c r="H26" s="76">
        <v>15</v>
      </c>
      <c r="I26" s="4"/>
      <c r="J26" s="1015"/>
      <c r="K26" s="1010"/>
      <c r="N26" s="59"/>
      <c r="O26" s="59"/>
      <c r="P26" s="59"/>
      <c r="Q26" s="59"/>
      <c r="R26" s="59"/>
      <c r="S26" s="59"/>
    </row>
    <row r="27" spans="1:19" x14ac:dyDescent="0.25">
      <c r="A27" s="1003"/>
      <c r="B27" s="1006"/>
      <c r="C27" s="1006"/>
      <c r="D27" s="1025"/>
      <c r="E27" s="1025"/>
      <c r="F27" s="64" t="s">
        <v>14</v>
      </c>
      <c r="G27" s="64" t="s">
        <v>1053</v>
      </c>
      <c r="H27" s="77">
        <v>10</v>
      </c>
      <c r="I27" s="64"/>
      <c r="J27" s="1016"/>
      <c r="K27" s="944"/>
    </row>
    <row r="28" spans="1:19" x14ac:dyDescent="0.25">
      <c r="A28" s="1001" t="s">
        <v>53</v>
      </c>
      <c r="B28" s="1004" t="s">
        <v>54</v>
      </c>
      <c r="C28" s="1004" t="s">
        <v>72</v>
      </c>
      <c r="D28" s="1004" t="e">
        <f>'Secondary data calculation'!C53</f>
        <v>#DIV/0!</v>
      </c>
      <c r="E28" s="1004"/>
      <c r="F28" s="3" t="s">
        <v>10</v>
      </c>
      <c r="G28" s="3" t="s">
        <v>55</v>
      </c>
      <c r="H28" s="75">
        <v>6.5</v>
      </c>
      <c r="I28" s="3"/>
      <c r="J28" s="1014" t="e">
        <f>IF(D28&lt;H32,F32,IF(D28&lt;H31,F31,IF(D28&lt;H30,F30,IF(D28&lt;H29,F29,IF(D28&gt;=H28,F28)))))</f>
        <v>#DIV/0!</v>
      </c>
      <c r="K28" s="939" t="e">
        <f t="shared" ref="K28" si="4">J28</f>
        <v>#DIV/0!</v>
      </c>
    </row>
    <row r="29" spans="1:19" x14ac:dyDescent="0.25">
      <c r="A29" s="1002"/>
      <c r="B29" s="1005"/>
      <c r="C29" s="1005"/>
      <c r="D29" s="1005"/>
      <c r="E29" s="1005"/>
      <c r="F29" s="4" t="s">
        <v>11</v>
      </c>
      <c r="G29" s="4" t="s">
        <v>56</v>
      </c>
      <c r="H29" s="76">
        <v>6.5</v>
      </c>
      <c r="I29" s="4"/>
      <c r="J29" s="1015"/>
      <c r="K29" s="1010"/>
    </row>
    <row r="30" spans="1:19" x14ac:dyDescent="0.25">
      <c r="A30" s="1002"/>
      <c r="B30" s="1005"/>
      <c r="C30" s="1005"/>
      <c r="D30" s="1005"/>
      <c r="E30" s="1005"/>
      <c r="F30" s="4" t="s">
        <v>12</v>
      </c>
      <c r="G30" s="4" t="s">
        <v>57</v>
      </c>
      <c r="H30" s="76">
        <v>5.5</v>
      </c>
      <c r="I30" s="4"/>
      <c r="J30" s="1015"/>
      <c r="K30" s="1010"/>
    </row>
    <row r="31" spans="1:19" x14ac:dyDescent="0.25">
      <c r="A31" s="1002"/>
      <c r="B31" s="1005"/>
      <c r="C31" s="1005"/>
      <c r="D31" s="1005"/>
      <c r="E31" s="1005"/>
      <c r="F31" s="4" t="s">
        <v>13</v>
      </c>
      <c r="G31" s="4" t="s">
        <v>58</v>
      </c>
      <c r="H31" s="76">
        <v>4.5</v>
      </c>
      <c r="I31" s="4"/>
      <c r="J31" s="1015"/>
      <c r="K31" s="1010"/>
    </row>
    <row r="32" spans="1:19" x14ac:dyDescent="0.25">
      <c r="A32" s="1003"/>
      <c r="B32" s="1006"/>
      <c r="C32" s="1006"/>
      <c r="D32" s="1006"/>
      <c r="E32" s="1006"/>
      <c r="F32" s="5" t="s">
        <v>14</v>
      </c>
      <c r="G32" s="5" t="s">
        <v>59</v>
      </c>
      <c r="H32" s="77">
        <v>4</v>
      </c>
      <c r="I32" s="5"/>
      <c r="J32" s="1016"/>
      <c r="K32" s="944"/>
    </row>
    <row r="33" spans="1:11" x14ac:dyDescent="0.25">
      <c r="A33" s="1001" t="s">
        <v>61</v>
      </c>
      <c r="B33" s="1004" t="s">
        <v>62</v>
      </c>
      <c r="C33" s="1004" t="s">
        <v>72</v>
      </c>
      <c r="D33" s="1020" t="e">
        <f>'Secondary data calculation'!C57</f>
        <v>#DIV/0!</v>
      </c>
      <c r="E33" s="1020"/>
      <c r="F33" s="3" t="s">
        <v>10</v>
      </c>
      <c r="G33" s="3" t="s">
        <v>63</v>
      </c>
      <c r="H33" s="75">
        <v>1</v>
      </c>
      <c r="I33" s="3"/>
      <c r="J33" s="1014" t="e">
        <f>IF(D33&lt;H37,F37,IF(D33&lt;H36,F36,IF(D33&lt;H35,F35,IF(D33&lt;H34,F34,IF(D33&gt;=H33,F33)))))</f>
        <v>#DIV/0!</v>
      </c>
      <c r="K33" s="939" t="e">
        <f t="shared" ref="K33" si="5">J33</f>
        <v>#DIV/0!</v>
      </c>
    </row>
    <row r="34" spans="1:11" x14ac:dyDescent="0.25">
      <c r="A34" s="1002"/>
      <c r="B34" s="1005"/>
      <c r="C34" s="1005"/>
      <c r="D34" s="1021"/>
      <c r="E34" s="1021"/>
      <c r="F34" s="4" t="s">
        <v>11</v>
      </c>
      <c r="G34" s="4" t="s">
        <v>64</v>
      </c>
      <c r="H34" s="66">
        <v>1</v>
      </c>
      <c r="I34" s="4"/>
      <c r="J34" s="1015"/>
      <c r="K34" s="1010"/>
    </row>
    <row r="35" spans="1:11" x14ac:dyDescent="0.25">
      <c r="A35" s="1002"/>
      <c r="B35" s="1005"/>
      <c r="C35" s="1005"/>
      <c r="D35" s="1021"/>
      <c r="E35" s="1021"/>
      <c r="F35" s="4" t="s">
        <v>12</v>
      </c>
      <c r="G35" s="4" t="s">
        <v>65</v>
      </c>
      <c r="H35" s="66">
        <v>0.8</v>
      </c>
      <c r="I35" s="4"/>
      <c r="J35" s="1015"/>
      <c r="K35" s="1010"/>
    </row>
    <row r="36" spans="1:11" x14ac:dyDescent="0.25">
      <c r="A36" s="1002"/>
      <c r="B36" s="1005"/>
      <c r="C36" s="1005"/>
      <c r="D36" s="1021"/>
      <c r="E36" s="1021"/>
      <c r="F36" s="4" t="s">
        <v>13</v>
      </c>
      <c r="G36" s="4" t="s">
        <v>66</v>
      </c>
      <c r="H36" s="76">
        <v>0.6</v>
      </c>
      <c r="I36" s="4"/>
      <c r="J36" s="1015"/>
      <c r="K36" s="1010"/>
    </row>
    <row r="37" spans="1:11" x14ac:dyDescent="0.25">
      <c r="A37" s="1003"/>
      <c r="B37" s="1006"/>
      <c r="C37" s="1006"/>
      <c r="D37" s="1022"/>
      <c r="E37" s="1022"/>
      <c r="F37" s="5" t="s">
        <v>14</v>
      </c>
      <c r="G37" s="5" t="s">
        <v>67</v>
      </c>
      <c r="H37" s="77">
        <v>0.4</v>
      </c>
      <c r="I37" s="5"/>
      <c r="J37" s="1016"/>
      <c r="K37" s="944"/>
    </row>
    <row r="38" spans="1:11" x14ac:dyDescent="0.25">
      <c r="A38" s="1001" t="s">
        <v>73</v>
      </c>
      <c r="B38" s="1004" t="s">
        <v>62</v>
      </c>
      <c r="C38" s="1004" t="s">
        <v>72</v>
      </c>
      <c r="D38" s="1020" t="e">
        <f>'Secondary data calculation'!C62</f>
        <v>#DIV/0!</v>
      </c>
      <c r="E38" s="1020"/>
      <c r="F38" s="3" t="s">
        <v>10</v>
      </c>
      <c r="G38" s="3" t="s">
        <v>74</v>
      </c>
      <c r="H38" s="75">
        <v>2</v>
      </c>
      <c r="I38" s="3"/>
      <c r="J38" s="1014" t="e">
        <f>IF(D38&lt;H42,F42,IF(D38&lt;H41,F41,IF(D38&lt;H40,F40,IF(D38&lt;H39,F39,IF(D38&gt;=H38,F38)))))</f>
        <v>#DIV/0!</v>
      </c>
      <c r="K38" s="939" t="e">
        <f t="shared" ref="K38" si="6">J38</f>
        <v>#DIV/0!</v>
      </c>
    </row>
    <row r="39" spans="1:11" x14ac:dyDescent="0.25">
      <c r="A39" s="1002"/>
      <c r="B39" s="1005"/>
      <c r="C39" s="1005"/>
      <c r="D39" s="1021"/>
      <c r="E39" s="1021"/>
      <c r="F39" s="4" t="s">
        <v>11</v>
      </c>
      <c r="G39" s="4" t="s">
        <v>75</v>
      </c>
      <c r="H39" s="66">
        <v>2</v>
      </c>
      <c r="I39" s="4"/>
      <c r="J39" s="1015"/>
      <c r="K39" s="1010"/>
    </row>
    <row r="40" spans="1:11" x14ac:dyDescent="0.25">
      <c r="A40" s="1002"/>
      <c r="B40" s="1005"/>
      <c r="C40" s="1005"/>
      <c r="D40" s="1021"/>
      <c r="E40" s="1021"/>
      <c r="F40" s="4" t="s">
        <v>12</v>
      </c>
      <c r="G40" s="4" t="s">
        <v>76</v>
      </c>
      <c r="H40" s="66">
        <v>1.7</v>
      </c>
      <c r="I40" s="4"/>
      <c r="J40" s="1015"/>
      <c r="K40" s="1010"/>
    </row>
    <row r="41" spans="1:11" x14ac:dyDescent="0.25">
      <c r="A41" s="1002"/>
      <c r="B41" s="1005"/>
      <c r="C41" s="1005"/>
      <c r="D41" s="1021"/>
      <c r="E41" s="1021"/>
      <c r="F41" s="4" t="s">
        <v>13</v>
      </c>
      <c r="G41" s="4" t="s">
        <v>77</v>
      </c>
      <c r="H41" s="76">
        <v>1.5</v>
      </c>
      <c r="I41" s="4"/>
      <c r="J41" s="1015"/>
      <c r="K41" s="1010"/>
    </row>
    <row r="42" spans="1:11" x14ac:dyDescent="0.25">
      <c r="A42" s="1003"/>
      <c r="B42" s="1006"/>
      <c r="C42" s="1006"/>
      <c r="D42" s="1022"/>
      <c r="E42" s="1022"/>
      <c r="F42" s="5" t="s">
        <v>14</v>
      </c>
      <c r="G42" s="5" t="s">
        <v>78</v>
      </c>
      <c r="H42" s="77">
        <v>1.3</v>
      </c>
      <c r="I42" s="5"/>
      <c r="J42" s="1016"/>
      <c r="K42" s="944"/>
    </row>
    <row r="43" spans="1:11" x14ac:dyDescent="0.25">
      <c r="A43" s="1001" t="s">
        <v>80</v>
      </c>
      <c r="B43" s="1004" t="s">
        <v>62</v>
      </c>
      <c r="C43" s="1004" t="s">
        <v>72</v>
      </c>
      <c r="D43" s="1020" t="e">
        <f>'Secondary data calculation'!C58</f>
        <v>#DIV/0!</v>
      </c>
      <c r="E43" s="1020"/>
      <c r="F43" s="3" t="s">
        <v>10</v>
      </c>
      <c r="G43" s="3" t="s">
        <v>81</v>
      </c>
      <c r="H43" s="75">
        <v>1.1000000000000001</v>
      </c>
      <c r="I43" s="3"/>
      <c r="J43" s="1014" t="e">
        <f>IF(D43&lt;H47,F47,IF(D43&lt;H46,F46,IF(D43&lt;H45,F45,IF(D43&lt;H44,F44,IF(D43&gt;=H43,F43)))))</f>
        <v>#DIV/0!</v>
      </c>
      <c r="K43" s="939" t="e">
        <f t="shared" ref="K43" si="7">J43</f>
        <v>#DIV/0!</v>
      </c>
    </row>
    <row r="44" spans="1:11" x14ac:dyDescent="0.25">
      <c r="A44" s="1002"/>
      <c r="B44" s="1005"/>
      <c r="C44" s="1005"/>
      <c r="D44" s="1021"/>
      <c r="E44" s="1021"/>
      <c r="F44" s="4" t="s">
        <v>11</v>
      </c>
      <c r="G44" s="4" t="s">
        <v>82</v>
      </c>
      <c r="H44" s="66">
        <v>1.1000000000000001</v>
      </c>
      <c r="I44" s="4"/>
      <c r="J44" s="1015"/>
      <c r="K44" s="1010"/>
    </row>
    <row r="45" spans="1:11" x14ac:dyDescent="0.25">
      <c r="A45" s="1002"/>
      <c r="B45" s="1005"/>
      <c r="C45" s="1005"/>
      <c r="D45" s="1021"/>
      <c r="E45" s="1021"/>
      <c r="F45" s="4" t="s">
        <v>12</v>
      </c>
      <c r="G45" s="4" t="s">
        <v>83</v>
      </c>
      <c r="H45" s="66">
        <v>0.9</v>
      </c>
      <c r="I45" s="4"/>
      <c r="J45" s="1015"/>
      <c r="K45" s="1010"/>
    </row>
    <row r="46" spans="1:11" x14ac:dyDescent="0.25">
      <c r="A46" s="1002"/>
      <c r="B46" s="1005"/>
      <c r="C46" s="1005"/>
      <c r="D46" s="1021"/>
      <c r="E46" s="1021"/>
      <c r="F46" s="4" t="s">
        <v>13</v>
      </c>
      <c r="G46" s="4" t="s">
        <v>84</v>
      </c>
      <c r="H46" s="76">
        <v>0.7</v>
      </c>
      <c r="I46" s="4"/>
      <c r="J46" s="1015"/>
      <c r="K46" s="1010"/>
    </row>
    <row r="47" spans="1:11" x14ac:dyDescent="0.25">
      <c r="A47" s="1003"/>
      <c r="B47" s="1006"/>
      <c r="C47" s="1006"/>
      <c r="D47" s="1022"/>
      <c r="E47" s="1022"/>
      <c r="F47" s="5" t="s">
        <v>14</v>
      </c>
      <c r="G47" s="5" t="s">
        <v>85</v>
      </c>
      <c r="H47" s="77">
        <v>0.5</v>
      </c>
      <c r="I47" s="5"/>
      <c r="J47" s="1016"/>
      <c r="K47" s="944"/>
    </row>
    <row r="48" spans="1:11" x14ac:dyDescent="0.25">
      <c r="A48" s="1001" t="s">
        <v>87</v>
      </c>
      <c r="B48" s="1023" t="s">
        <v>88</v>
      </c>
      <c r="C48" s="1023" t="s">
        <v>38</v>
      </c>
      <c r="D48" s="1026">
        <f>'Secondary data calculation'!C48</f>
        <v>0</v>
      </c>
      <c r="E48" s="1026"/>
      <c r="F48" s="7" t="s">
        <v>11</v>
      </c>
      <c r="G48" s="95" t="s">
        <v>1669</v>
      </c>
      <c r="H48" s="61">
        <v>0</v>
      </c>
      <c r="J48" s="1014" t="str">
        <f>IF(D48&lt;H50,F50,IF(D48=H49,F49,IF(D48&gt;H48,F48)))</f>
        <v>Medium</v>
      </c>
      <c r="K48" s="939" t="str">
        <f>J48</f>
        <v>Medium</v>
      </c>
    </row>
    <row r="49" spans="1:11" x14ac:dyDescent="0.25">
      <c r="A49" s="1002"/>
      <c r="B49" s="1024"/>
      <c r="C49" s="1024"/>
      <c r="D49" s="1027"/>
      <c r="E49" s="1027"/>
      <c r="F49" s="6" t="s">
        <v>12</v>
      </c>
      <c r="G49" s="96" t="s">
        <v>1670</v>
      </c>
      <c r="H49" s="61">
        <v>0</v>
      </c>
      <c r="J49" s="1015"/>
      <c r="K49" s="1010"/>
    </row>
    <row r="50" spans="1:11" x14ac:dyDescent="0.25">
      <c r="A50" s="1003"/>
      <c r="B50" s="1025"/>
      <c r="C50" s="1025"/>
      <c r="D50" s="1028"/>
      <c r="E50" s="1028"/>
      <c r="F50" s="8" t="s">
        <v>13</v>
      </c>
      <c r="G50" s="97" t="s">
        <v>1671</v>
      </c>
      <c r="H50" s="77">
        <v>0</v>
      </c>
      <c r="I50" s="5"/>
      <c r="J50" s="1016"/>
      <c r="K50" s="944"/>
    </row>
    <row r="51" spans="1:11" x14ac:dyDescent="0.25">
      <c r="A51" s="1001" t="s">
        <v>89</v>
      </c>
      <c r="B51" s="1023" t="s">
        <v>88</v>
      </c>
      <c r="C51" s="1023" t="s">
        <v>38</v>
      </c>
      <c r="D51" s="1029" t="e">
        <f>'Secondary data calculation'!C49</f>
        <v>#NUM!</v>
      </c>
      <c r="E51" s="1029"/>
      <c r="F51" s="7" t="s">
        <v>11</v>
      </c>
      <c r="G51" s="95" t="s">
        <v>1665</v>
      </c>
      <c r="H51" s="815">
        <v>0.06</v>
      </c>
      <c r="J51" s="1014" t="e">
        <f>IF(D51&lt;H53,F53,IF(D51&lt;H52,F52,IF(D51&gt;=H51,F51)))</f>
        <v>#NUM!</v>
      </c>
      <c r="K51" s="939" t="e">
        <f t="shared" ref="K51" si="8">J51</f>
        <v>#NUM!</v>
      </c>
    </row>
    <row r="52" spans="1:11" x14ac:dyDescent="0.25">
      <c r="A52" s="1002"/>
      <c r="B52" s="1024"/>
      <c r="C52" s="1024"/>
      <c r="D52" s="1030"/>
      <c r="E52" s="1030"/>
      <c r="F52" s="6" t="s">
        <v>12</v>
      </c>
      <c r="G52" s="96" t="s">
        <v>1666</v>
      </c>
      <c r="H52" s="815">
        <v>0.06</v>
      </c>
      <c r="J52" s="1015"/>
      <c r="K52" s="1010"/>
    </row>
    <row r="53" spans="1:11" x14ac:dyDescent="0.25">
      <c r="A53" s="1003"/>
      <c r="B53" s="1025"/>
      <c r="C53" s="1025"/>
      <c r="D53" s="1031"/>
      <c r="E53" s="1031"/>
      <c r="F53" s="8" t="s">
        <v>13</v>
      </c>
      <c r="G53" s="97" t="s">
        <v>1667</v>
      </c>
      <c r="H53" s="815">
        <v>0.06</v>
      </c>
      <c r="J53" s="1016"/>
      <c r="K53" s="944"/>
    </row>
    <row r="54" spans="1:11" x14ac:dyDescent="0.25">
      <c r="A54" s="1001" t="s">
        <v>92</v>
      </c>
      <c r="B54" s="1023" t="s">
        <v>93</v>
      </c>
      <c r="C54" s="1023" t="s">
        <v>72</v>
      </c>
      <c r="D54" s="1004" t="e">
        <f>'Secondary data calculation'!C59</f>
        <v>#DIV/0!</v>
      </c>
      <c r="E54" s="1004"/>
      <c r="F54" s="7" t="s">
        <v>11</v>
      </c>
      <c r="G54" s="7" t="s">
        <v>94</v>
      </c>
      <c r="H54" s="72">
        <v>0.42</v>
      </c>
      <c r="I54" s="7"/>
      <c r="J54" s="1014" t="e">
        <f>IF(D54&lt;H56,F56,IF(D54&lt;H55,F55,IF(D54&gt;=H54,F54)))</f>
        <v>#DIV/0!</v>
      </c>
      <c r="K54" s="939" t="e">
        <f t="shared" ref="K54" si="9">J54</f>
        <v>#DIV/0!</v>
      </c>
    </row>
    <row r="55" spans="1:11" x14ac:dyDescent="0.25">
      <c r="A55" s="1002"/>
      <c r="B55" s="1024"/>
      <c r="C55" s="1024"/>
      <c r="D55" s="1005"/>
      <c r="E55" s="1005"/>
      <c r="F55" s="6" t="s">
        <v>12</v>
      </c>
      <c r="G55" s="6" t="s">
        <v>95</v>
      </c>
      <c r="H55" s="66">
        <v>0.42</v>
      </c>
      <c r="I55" s="6"/>
      <c r="J55" s="1015"/>
      <c r="K55" s="1010"/>
    </row>
    <row r="56" spans="1:11" x14ac:dyDescent="0.25">
      <c r="A56" s="1003"/>
      <c r="B56" s="1025"/>
      <c r="C56" s="1025"/>
      <c r="D56" s="1006"/>
      <c r="E56" s="1006"/>
      <c r="F56" s="8" t="s">
        <v>13</v>
      </c>
      <c r="G56" s="8" t="s">
        <v>96</v>
      </c>
      <c r="H56" s="73">
        <v>0.22</v>
      </c>
      <c r="I56" s="8"/>
      <c r="J56" s="1016"/>
      <c r="K56" s="944"/>
    </row>
    <row r="57" spans="1:11" x14ac:dyDescent="0.25">
      <c r="A57" s="1001" t="s">
        <v>97</v>
      </c>
      <c r="B57" s="1004" t="s">
        <v>98</v>
      </c>
      <c r="C57" s="1023" t="s">
        <v>69</v>
      </c>
      <c r="D57" s="1004">
        <f>'Secondary data calculation'!C65</f>
        <v>0</v>
      </c>
      <c r="E57" s="1004"/>
      <c r="F57" s="7" t="s">
        <v>11</v>
      </c>
      <c r="G57" s="7" t="s">
        <v>32</v>
      </c>
      <c r="H57" s="72">
        <v>2</v>
      </c>
      <c r="I57" s="7"/>
      <c r="J57" s="1014" t="str">
        <f>IF(D57&lt;H59,F59,IF(D57&lt;H58,F58,IF(D57&gt;=H57,F57)))</f>
        <v>Low</v>
      </c>
      <c r="K57" s="939" t="str">
        <f t="shared" ref="K57" si="10">J57</f>
        <v>Low</v>
      </c>
    </row>
    <row r="58" spans="1:11" x14ac:dyDescent="0.25">
      <c r="A58" s="1002"/>
      <c r="B58" s="1024"/>
      <c r="C58" s="1024"/>
      <c r="D58" s="1005"/>
      <c r="E58" s="1005"/>
      <c r="F58" s="6" t="s">
        <v>12</v>
      </c>
      <c r="G58" s="6" t="s">
        <v>287</v>
      </c>
      <c r="H58" s="66">
        <v>2</v>
      </c>
      <c r="I58" s="6"/>
      <c r="J58" s="1015"/>
      <c r="K58" s="1010"/>
    </row>
    <row r="59" spans="1:11" x14ac:dyDescent="0.25">
      <c r="A59" s="1003"/>
      <c r="B59" s="1025"/>
      <c r="C59" s="1025"/>
      <c r="D59" s="1006"/>
      <c r="E59" s="1006"/>
      <c r="F59" s="8" t="s">
        <v>13</v>
      </c>
      <c r="G59" s="8" t="s">
        <v>286</v>
      </c>
      <c r="H59" s="73">
        <v>1.1000000000000001</v>
      </c>
      <c r="I59" s="8"/>
      <c r="J59" s="1016"/>
      <c r="K59" s="944"/>
    </row>
    <row r="60" spans="1:11" x14ac:dyDescent="0.25">
      <c r="A60" s="1001" t="s">
        <v>280</v>
      </c>
      <c r="B60" s="1004" t="s">
        <v>273</v>
      </c>
      <c r="C60" s="1023" t="s">
        <v>69</v>
      </c>
      <c r="D60" s="1004">
        <f>'Secondary data calculation'!C11</f>
        <v>0</v>
      </c>
      <c r="E60" s="1004"/>
      <c r="F60" s="85" t="s">
        <v>11</v>
      </c>
      <c r="G60" s="7" t="s">
        <v>101</v>
      </c>
      <c r="H60" s="72">
        <v>5</v>
      </c>
      <c r="I60" s="7"/>
      <c r="J60" s="1014" t="str">
        <f>IF(D60&lt;H62,F62,IF(D60&lt;H61,F61,IF(D60&gt;=H60,F60)))</f>
        <v>Low</v>
      </c>
      <c r="K60" s="939" t="str">
        <f t="shared" ref="K60" si="11">J60</f>
        <v>Low</v>
      </c>
    </row>
    <row r="61" spans="1:11" x14ac:dyDescent="0.25">
      <c r="A61" s="1002"/>
      <c r="B61" s="1024"/>
      <c r="C61" s="1024"/>
      <c r="D61" s="1005"/>
      <c r="E61" s="1005"/>
      <c r="F61" s="58" t="s">
        <v>12</v>
      </c>
      <c r="G61" s="6" t="s">
        <v>102</v>
      </c>
      <c r="H61" s="66">
        <v>5</v>
      </c>
      <c r="I61" s="6"/>
      <c r="J61" s="1015"/>
      <c r="K61" s="1010"/>
    </row>
    <row r="62" spans="1:11" x14ac:dyDescent="0.25">
      <c r="A62" s="1003"/>
      <c r="B62" s="1025"/>
      <c r="C62" s="1025"/>
      <c r="D62" s="1006"/>
      <c r="E62" s="1006"/>
      <c r="F62" s="86" t="s">
        <v>13</v>
      </c>
      <c r="G62" s="8" t="s">
        <v>103</v>
      </c>
      <c r="H62" s="73">
        <v>2</v>
      </c>
      <c r="I62" s="8"/>
      <c r="J62" s="1016"/>
      <c r="K62" s="944"/>
    </row>
    <row r="63" spans="1:11" x14ac:dyDescent="0.25">
      <c r="A63" s="1001" t="s">
        <v>105</v>
      </c>
      <c r="B63" s="1004" t="s">
        <v>106</v>
      </c>
      <c r="C63" s="1023" t="s">
        <v>69</v>
      </c>
      <c r="D63" s="1004">
        <f>'Secondary data calculation'!C91</f>
        <v>0</v>
      </c>
      <c r="E63" s="1004"/>
      <c r="F63" s="85" t="s">
        <v>11</v>
      </c>
      <c r="G63" s="7" t="s">
        <v>41</v>
      </c>
      <c r="H63" s="72">
        <v>4</v>
      </c>
      <c r="I63" s="7"/>
      <c r="J63" s="1014" t="str">
        <f>IF(D63&lt;H65,F65,IF(D63&lt;H64,F64,IF(D63&gt;=H63,F63)))</f>
        <v>Low</v>
      </c>
      <c r="K63" s="939" t="str">
        <f t="shared" ref="K63" si="12">J63</f>
        <v>Low</v>
      </c>
    </row>
    <row r="64" spans="1:11" x14ac:dyDescent="0.25">
      <c r="A64" s="1002"/>
      <c r="B64" s="1024"/>
      <c r="C64" s="1024"/>
      <c r="D64" s="1005"/>
      <c r="E64" s="1005"/>
      <c r="F64" s="58" t="s">
        <v>12</v>
      </c>
      <c r="G64" s="6" t="s">
        <v>114</v>
      </c>
      <c r="H64" s="66">
        <v>4</v>
      </c>
      <c r="I64" s="6"/>
      <c r="J64" s="1015"/>
      <c r="K64" s="1010"/>
    </row>
    <row r="65" spans="1:11" x14ac:dyDescent="0.25">
      <c r="A65" s="1003"/>
      <c r="B65" s="1025"/>
      <c r="C65" s="1025"/>
      <c r="D65" s="1006"/>
      <c r="E65" s="1006"/>
      <c r="F65" s="86" t="s">
        <v>13</v>
      </c>
      <c r="G65" s="8" t="s">
        <v>115</v>
      </c>
      <c r="H65" s="73">
        <v>2</v>
      </c>
      <c r="I65" s="8"/>
      <c r="J65" s="1016"/>
      <c r="K65" s="944"/>
    </row>
    <row r="66" spans="1:11" x14ac:dyDescent="0.25">
      <c r="A66" s="1032" t="s">
        <v>118</v>
      </c>
      <c r="B66" s="1004" t="s">
        <v>119</v>
      </c>
      <c r="C66" s="1004" t="s">
        <v>69</v>
      </c>
      <c r="D66" s="1023">
        <f>'Secondary data calculation'!C80</f>
        <v>0</v>
      </c>
      <c r="E66" s="1023"/>
      <c r="F66" s="85" t="s">
        <v>10</v>
      </c>
      <c r="G66" s="3" t="s">
        <v>172</v>
      </c>
      <c r="H66" s="75">
        <v>6</v>
      </c>
      <c r="I66" s="3"/>
      <c r="J66" s="1014" t="str">
        <f>IF(D66&lt;H66,F66,IF(D66&lt;H67,F67,IF(D66&lt;H68,F68,IF(D66&lt;H69,F69,IF(D66&gt;=H70,F70)))))</f>
        <v>Very High</v>
      </c>
      <c r="K66" s="939" t="str">
        <f>J66</f>
        <v>Very High</v>
      </c>
    </row>
    <row r="67" spans="1:11" x14ac:dyDescent="0.25">
      <c r="A67" s="1033"/>
      <c r="B67" s="1005"/>
      <c r="C67" s="1005"/>
      <c r="D67" s="1024"/>
      <c r="E67" s="1024"/>
      <c r="F67" s="58" t="s">
        <v>11</v>
      </c>
      <c r="G67" s="4" t="s">
        <v>1568</v>
      </c>
      <c r="H67" s="66">
        <v>12</v>
      </c>
      <c r="I67" s="4"/>
      <c r="J67" s="1015"/>
      <c r="K67" s="1010"/>
    </row>
    <row r="68" spans="1:11" x14ac:dyDescent="0.25">
      <c r="A68" s="1033"/>
      <c r="B68" s="1005"/>
      <c r="C68" s="1005"/>
      <c r="D68" s="1024"/>
      <c r="E68" s="1024"/>
      <c r="F68" s="58" t="s">
        <v>12</v>
      </c>
      <c r="G68" s="4" t="s">
        <v>1567</v>
      </c>
      <c r="H68" s="66">
        <v>18</v>
      </c>
      <c r="I68" s="4"/>
      <c r="J68" s="1015"/>
      <c r="K68" s="1010"/>
    </row>
    <row r="69" spans="1:11" x14ac:dyDescent="0.25">
      <c r="A69" s="1033"/>
      <c r="B69" s="1005"/>
      <c r="C69" s="1005"/>
      <c r="D69" s="1024"/>
      <c r="E69" s="1024"/>
      <c r="F69" s="58" t="s">
        <v>13</v>
      </c>
      <c r="G69" s="4" t="s">
        <v>1566</v>
      </c>
      <c r="H69" s="66">
        <v>24</v>
      </c>
      <c r="I69" s="4"/>
      <c r="J69" s="1015"/>
      <c r="K69" s="1010"/>
    </row>
    <row r="70" spans="1:11" x14ac:dyDescent="0.25">
      <c r="A70" s="1034"/>
      <c r="B70" s="1006"/>
      <c r="C70" s="1006"/>
      <c r="D70" s="1025"/>
      <c r="E70" s="1025"/>
      <c r="F70" s="86" t="s">
        <v>14</v>
      </c>
      <c r="G70" s="5" t="s">
        <v>1565</v>
      </c>
      <c r="H70" s="77">
        <v>24</v>
      </c>
      <c r="I70" s="5"/>
      <c r="J70" s="1016"/>
      <c r="K70" s="944"/>
    </row>
    <row r="71" spans="1:11" x14ac:dyDescent="0.25">
      <c r="A71" s="1001" t="s">
        <v>130</v>
      </c>
      <c r="B71" s="1004" t="s">
        <v>136</v>
      </c>
      <c r="C71" s="1023" t="s">
        <v>70</v>
      </c>
      <c r="D71" s="1038" t="e">
        <f>'Secondary data calculation'!C60</f>
        <v>#DIV/0!</v>
      </c>
      <c r="E71" s="1038"/>
      <c r="F71" s="85" t="s">
        <v>11</v>
      </c>
      <c r="G71" s="7" t="s">
        <v>131</v>
      </c>
      <c r="H71" s="72">
        <v>0.8</v>
      </c>
      <c r="I71" s="7"/>
      <c r="J71" s="1014" t="e">
        <f>IF(D71&lt;H73,F73,IF(D71&lt;H72,F72,IF(D71&gt;=H71,F71)))</f>
        <v>#DIV/0!</v>
      </c>
      <c r="K71" s="939" t="e">
        <f>J71</f>
        <v>#DIV/0!</v>
      </c>
    </row>
    <row r="72" spans="1:11" x14ac:dyDescent="0.25">
      <c r="A72" s="1002"/>
      <c r="B72" s="1024"/>
      <c r="C72" s="1024"/>
      <c r="D72" s="1039"/>
      <c r="E72" s="1039"/>
      <c r="F72" s="56" t="s">
        <v>12</v>
      </c>
      <c r="G72" s="6" t="s">
        <v>132</v>
      </c>
      <c r="H72" s="66">
        <v>0.8</v>
      </c>
      <c r="I72" s="6"/>
      <c r="J72" s="1015"/>
      <c r="K72" s="1010"/>
    </row>
    <row r="73" spans="1:11" x14ac:dyDescent="0.25">
      <c r="A73" s="1003"/>
      <c r="B73" s="1025"/>
      <c r="C73" s="1025"/>
      <c r="D73" s="1040"/>
      <c r="E73" s="1040"/>
      <c r="F73" s="86" t="s">
        <v>13</v>
      </c>
      <c r="G73" s="8" t="s">
        <v>133</v>
      </c>
      <c r="H73" s="73">
        <v>0.5</v>
      </c>
      <c r="I73" s="8"/>
      <c r="J73" s="1016"/>
      <c r="K73" s="944"/>
    </row>
    <row r="74" spans="1:11" x14ac:dyDescent="0.25">
      <c r="A74" s="1032" t="s">
        <v>135</v>
      </c>
      <c r="B74" s="1004" t="s">
        <v>300</v>
      </c>
      <c r="C74" s="1023" t="s">
        <v>69</v>
      </c>
      <c r="D74" s="1035" t="e">
        <f>'Secondary data calculation'!C10</f>
        <v>#DIV/0!</v>
      </c>
      <c r="E74" s="1035"/>
      <c r="F74" s="7" t="s">
        <v>11</v>
      </c>
      <c r="G74" s="7" t="s">
        <v>139</v>
      </c>
      <c r="H74" s="72">
        <v>0.5</v>
      </c>
      <c r="I74" s="7"/>
      <c r="J74" s="1014" t="e">
        <f t="shared" ref="J74" si="13">IF(D74&lt;H76,F76,IF(D74&lt;H75,F75,IF(D74&gt;=H74,F74)))</f>
        <v>#DIV/0!</v>
      </c>
      <c r="K74" s="939" t="e">
        <f t="shared" ref="K74" si="14">J74</f>
        <v>#DIV/0!</v>
      </c>
    </row>
    <row r="75" spans="1:11" x14ac:dyDescent="0.25">
      <c r="A75" s="1033"/>
      <c r="B75" s="1024"/>
      <c r="C75" s="1024"/>
      <c r="D75" s="1036"/>
      <c r="E75" s="1036"/>
      <c r="F75" s="60" t="s">
        <v>12</v>
      </c>
      <c r="G75" s="60" t="s">
        <v>1563</v>
      </c>
      <c r="H75" s="632">
        <v>0.5</v>
      </c>
      <c r="I75" s="6"/>
      <c r="J75" s="1015"/>
      <c r="K75" s="1010"/>
    </row>
    <row r="76" spans="1:11" x14ac:dyDescent="0.25">
      <c r="A76" s="1034"/>
      <c r="B76" s="1025"/>
      <c r="C76" s="1025"/>
      <c r="D76" s="1037"/>
      <c r="E76" s="1037"/>
      <c r="F76" s="8" t="s">
        <v>13</v>
      </c>
      <c r="G76" s="8" t="s">
        <v>1562</v>
      </c>
      <c r="H76" s="73">
        <v>0.3</v>
      </c>
      <c r="I76" s="8"/>
      <c r="J76" s="1016"/>
      <c r="K76" s="944"/>
    </row>
    <row r="77" spans="1:11" x14ac:dyDescent="0.25">
      <c r="A77" s="1032" t="s">
        <v>137</v>
      </c>
      <c r="B77" s="1004" t="s">
        <v>300</v>
      </c>
      <c r="C77" s="1023" t="s">
        <v>70</v>
      </c>
      <c r="D77" s="1038" t="e">
        <f>'Secondary data calculation'!C61</f>
        <v>#DIV/0!</v>
      </c>
      <c r="E77" s="1004"/>
      <c r="F77" s="85" t="s">
        <v>11</v>
      </c>
      <c r="G77" t="s">
        <v>141</v>
      </c>
      <c r="H77" s="66">
        <v>0.25</v>
      </c>
      <c r="J77" s="1014" t="e">
        <f>IF(D77&lt;H77,F77,IF(D77&lt;H78,F78,IF(D77&gt;=H79,F79)))</f>
        <v>#DIV/0!</v>
      </c>
      <c r="K77" s="939" t="e">
        <f t="shared" ref="K77" si="15">J77</f>
        <v>#DIV/0!</v>
      </c>
    </row>
    <row r="78" spans="1:11" x14ac:dyDescent="0.25">
      <c r="A78" s="1033"/>
      <c r="B78" s="1024"/>
      <c r="C78" s="1024"/>
      <c r="D78" s="1005"/>
      <c r="E78" s="1005"/>
      <c r="F78" s="58" t="s">
        <v>12</v>
      </c>
      <c r="G78" s="6" t="s">
        <v>140</v>
      </c>
      <c r="H78" s="66">
        <v>0.5</v>
      </c>
      <c r="I78" s="6"/>
      <c r="J78" s="1015"/>
      <c r="K78" s="1010"/>
    </row>
    <row r="79" spans="1:11" x14ac:dyDescent="0.25">
      <c r="A79" s="1034"/>
      <c r="B79" s="1025"/>
      <c r="C79" s="1025"/>
      <c r="D79" s="1006"/>
      <c r="E79" s="1006"/>
      <c r="F79" s="86" t="s">
        <v>13</v>
      </c>
      <c r="G79" t="s">
        <v>139</v>
      </c>
      <c r="H79" s="66">
        <v>0.5</v>
      </c>
      <c r="J79" s="1016"/>
      <c r="K79" s="944"/>
    </row>
    <row r="80" spans="1:11" x14ac:dyDescent="0.25">
      <c r="A80" s="1032" t="s">
        <v>142</v>
      </c>
      <c r="B80" s="1004" t="s">
        <v>143</v>
      </c>
      <c r="C80" s="1004" t="s">
        <v>69</v>
      </c>
      <c r="D80" s="1020" t="e">
        <f>'Secondary data calculation'!C13</f>
        <v>#DIV/0!</v>
      </c>
      <c r="E80" s="1020"/>
      <c r="F80" s="85" t="s">
        <v>10</v>
      </c>
      <c r="G80" s="3" t="s">
        <v>100</v>
      </c>
      <c r="H80" s="75">
        <v>6</v>
      </c>
      <c r="I80" s="3"/>
      <c r="J80" s="1014" t="e">
        <f>IF(D80&lt;H84,F84,IF(D80&lt;H83,F83,IF(D80&lt;H82,F82,IF(D80&lt;H81,F81,IF(D80&gt;=H80,F80)))))</f>
        <v>#DIV/0!</v>
      </c>
      <c r="K80" s="939" t="e">
        <f>J80</f>
        <v>#DIV/0!</v>
      </c>
    </row>
    <row r="81" spans="1:11" x14ac:dyDescent="0.25">
      <c r="A81" s="1033"/>
      <c r="B81" s="1005"/>
      <c r="C81" s="1005"/>
      <c r="D81" s="1021"/>
      <c r="E81" s="1021"/>
      <c r="F81" s="56" t="s">
        <v>11</v>
      </c>
      <c r="G81" s="4" t="s">
        <v>144</v>
      </c>
      <c r="H81" s="66">
        <v>6</v>
      </c>
      <c r="I81" s="4"/>
      <c r="J81" s="1015"/>
      <c r="K81" s="1010"/>
    </row>
    <row r="82" spans="1:11" x14ac:dyDescent="0.25">
      <c r="A82" s="1033"/>
      <c r="B82" s="1005"/>
      <c r="C82" s="1005"/>
      <c r="D82" s="1021"/>
      <c r="E82" s="1021"/>
      <c r="F82" s="56" t="s">
        <v>12</v>
      </c>
      <c r="G82" s="4" t="s">
        <v>145</v>
      </c>
      <c r="H82" s="66">
        <v>4.5</v>
      </c>
      <c r="I82" s="4"/>
      <c r="J82" s="1015"/>
      <c r="K82" s="1010"/>
    </row>
    <row r="83" spans="1:11" x14ac:dyDescent="0.25">
      <c r="A83" s="1033"/>
      <c r="B83" s="1005"/>
      <c r="C83" s="1005"/>
      <c r="D83" s="1021"/>
      <c r="E83" s="1021"/>
      <c r="F83" s="56" t="s">
        <v>13</v>
      </c>
      <c r="G83" s="4" t="s">
        <v>42</v>
      </c>
      <c r="H83" s="76">
        <v>3</v>
      </c>
      <c r="I83" s="4"/>
      <c r="J83" s="1015"/>
      <c r="K83" s="1010"/>
    </row>
    <row r="84" spans="1:11" x14ac:dyDescent="0.25">
      <c r="A84" s="1034"/>
      <c r="B84" s="1006"/>
      <c r="C84" s="1006"/>
      <c r="D84" s="1022"/>
      <c r="E84" s="1022"/>
      <c r="F84" s="86" t="s">
        <v>14</v>
      </c>
      <c r="G84" s="5" t="s">
        <v>146</v>
      </c>
      <c r="H84" s="77">
        <v>1.5</v>
      </c>
      <c r="I84" s="5"/>
      <c r="J84" s="1016"/>
      <c r="K84" s="944"/>
    </row>
    <row r="85" spans="1:11" x14ac:dyDescent="0.25">
      <c r="A85" s="1032" t="s">
        <v>151</v>
      </c>
      <c r="B85" s="1004" t="s">
        <v>152</v>
      </c>
      <c r="C85" s="1023" t="s">
        <v>167</v>
      </c>
      <c r="D85" s="1004">
        <f>'Secondary data calculation'!C93</f>
        <v>0</v>
      </c>
      <c r="E85" s="1004"/>
      <c r="F85" s="85" t="s">
        <v>11</v>
      </c>
      <c r="G85" s="7" t="s">
        <v>356</v>
      </c>
      <c r="H85" s="66" t="s">
        <v>439</v>
      </c>
      <c r="I85" s="6"/>
      <c r="J85" s="1045" t="b">
        <f>IF(D85=H87,F87,IF(D85=H86,F86,IF(D85=H85,F85)))</f>
        <v>0</v>
      </c>
      <c r="K85" s="1041" t="b">
        <f>J85</f>
        <v>0</v>
      </c>
    </row>
    <row r="86" spans="1:11" x14ac:dyDescent="0.25">
      <c r="A86" s="1033"/>
      <c r="B86" s="1024"/>
      <c r="C86" s="1024"/>
      <c r="D86" s="1005"/>
      <c r="E86" s="1005"/>
      <c r="F86" s="58" t="s">
        <v>12</v>
      </c>
      <c r="G86" s="6" t="s">
        <v>355</v>
      </c>
      <c r="H86" s="66" t="s">
        <v>361</v>
      </c>
      <c r="I86" s="6"/>
      <c r="J86" s="1045"/>
      <c r="K86" s="1041"/>
    </row>
    <row r="87" spans="1:11" x14ac:dyDescent="0.25">
      <c r="A87" s="1034"/>
      <c r="B87" s="1025"/>
      <c r="C87" s="1025"/>
      <c r="D87" s="1006"/>
      <c r="E87" s="1006"/>
      <c r="F87" s="86" t="s">
        <v>13</v>
      </c>
      <c r="G87" s="8" t="s">
        <v>354</v>
      </c>
      <c r="H87" s="66" t="s">
        <v>353</v>
      </c>
      <c r="I87" s="6"/>
      <c r="J87" s="1045"/>
      <c r="K87" s="1041"/>
    </row>
    <row r="88" spans="1:11" x14ac:dyDescent="0.25">
      <c r="A88" s="1032" t="s">
        <v>153</v>
      </c>
      <c r="B88" s="1004" t="s">
        <v>152</v>
      </c>
      <c r="C88" s="1023" t="s">
        <v>69</v>
      </c>
      <c r="D88" s="1004">
        <f>'Secondary data calculation'!C97</f>
        <v>0</v>
      </c>
      <c r="E88" s="1004"/>
      <c r="F88" s="85" t="s">
        <v>11</v>
      </c>
      <c r="G88" s="7" t="s">
        <v>99</v>
      </c>
      <c r="H88" s="72">
        <v>5</v>
      </c>
      <c r="I88" s="7"/>
      <c r="J88" s="1042" t="str">
        <f>IF(D88&lt;H90,F90,IF(D88&lt;H89,F89,IF(D88&gt;=H88,F88)))</f>
        <v>Low</v>
      </c>
      <c r="K88" s="1041" t="str">
        <f t="shared" ref="K88" si="16">J88</f>
        <v>Low</v>
      </c>
    </row>
    <row r="89" spans="1:11" x14ac:dyDescent="0.25">
      <c r="A89" s="1033"/>
      <c r="B89" s="1024"/>
      <c r="C89" s="1024"/>
      <c r="D89" s="1005"/>
      <c r="E89" s="1005"/>
      <c r="F89" s="58" t="s">
        <v>12</v>
      </c>
      <c r="G89" s="6" t="s">
        <v>154</v>
      </c>
      <c r="H89" s="66">
        <v>5</v>
      </c>
      <c r="I89" s="6"/>
      <c r="J89" s="1043"/>
      <c r="K89" s="1041"/>
    </row>
    <row r="90" spans="1:11" x14ac:dyDescent="0.25">
      <c r="A90" s="1034"/>
      <c r="B90" s="1025"/>
      <c r="C90" s="1025"/>
      <c r="D90" s="1006"/>
      <c r="E90" s="1006"/>
      <c r="F90" s="86" t="s">
        <v>13</v>
      </c>
      <c r="G90" s="8" t="s">
        <v>155</v>
      </c>
      <c r="H90" s="73">
        <v>1</v>
      </c>
      <c r="I90" s="8"/>
      <c r="J90" s="1044"/>
      <c r="K90" s="1041"/>
    </row>
    <row r="91" spans="1:11" x14ac:dyDescent="0.25">
      <c r="A91" s="1032" t="s">
        <v>156</v>
      </c>
      <c r="B91" s="1004" t="s">
        <v>157</v>
      </c>
      <c r="C91" s="1023" t="s">
        <v>161</v>
      </c>
      <c r="D91" s="1004" t="e">
        <f>'Secondary data calculation'!C33</f>
        <v>#DIV/0!</v>
      </c>
      <c r="E91" s="1004"/>
      <c r="F91" s="7" t="s">
        <v>11</v>
      </c>
      <c r="G91" s="7" t="s">
        <v>158</v>
      </c>
      <c r="H91" s="72">
        <v>2200</v>
      </c>
      <c r="I91" s="7"/>
      <c r="J91" s="1042" t="e">
        <f>IF(D91&lt;H93,F93,IF(D91&lt;H92,F92,IF(D91&gt;=H91,F91)))</f>
        <v>#DIV/0!</v>
      </c>
      <c r="K91" s="1041" t="e">
        <f t="shared" ref="K91" si="17">J91</f>
        <v>#DIV/0!</v>
      </c>
    </row>
    <row r="92" spans="1:11" x14ac:dyDescent="0.25">
      <c r="A92" s="1033"/>
      <c r="B92" s="1024"/>
      <c r="C92" s="1024"/>
      <c r="D92" s="1005"/>
      <c r="E92" s="1005"/>
      <c r="F92" s="6" t="s">
        <v>12</v>
      </c>
      <c r="G92" s="6" t="s">
        <v>159</v>
      </c>
      <c r="H92" s="66">
        <v>2200</v>
      </c>
      <c r="I92" s="6"/>
      <c r="J92" s="1043"/>
      <c r="K92" s="1041"/>
    </row>
    <row r="93" spans="1:11" x14ac:dyDescent="0.25">
      <c r="A93" s="1034"/>
      <c r="B93" s="1025"/>
      <c r="C93" s="1025"/>
      <c r="D93" s="1006"/>
      <c r="E93" s="1006"/>
      <c r="F93" s="8" t="s">
        <v>13</v>
      </c>
      <c r="G93" s="8" t="s">
        <v>160</v>
      </c>
      <c r="H93" s="73">
        <v>1600</v>
      </c>
      <c r="I93" s="8"/>
      <c r="J93" s="1044"/>
      <c r="K93" s="1041"/>
    </row>
    <row r="94" spans="1:11" x14ac:dyDescent="0.25">
      <c r="A94" s="1032" t="s">
        <v>162</v>
      </c>
      <c r="B94" s="1004" t="s">
        <v>157</v>
      </c>
      <c r="C94" s="1046" t="s">
        <v>1118</v>
      </c>
      <c r="D94" s="1046" t="e">
        <f>'Secondary data calculation'!C34</f>
        <v>#DIV/0!</v>
      </c>
      <c r="E94" s="1046"/>
      <c r="F94" s="53" t="s">
        <v>11</v>
      </c>
      <c r="G94" s="95" t="s">
        <v>32</v>
      </c>
      <c r="H94" s="61">
        <v>2</v>
      </c>
      <c r="J94" s="1042" t="e">
        <f>IF(D94&lt;H96,F96,IF(D94&lt;H95,F95,IF(D94&gt;=H94,F94)))</f>
        <v>#DIV/0!</v>
      </c>
      <c r="K94" s="1041" t="e">
        <f t="shared" ref="K94" si="18">J94</f>
        <v>#DIV/0!</v>
      </c>
    </row>
    <row r="95" spans="1:11" x14ac:dyDescent="0.25">
      <c r="A95" s="1033"/>
      <c r="B95" s="1024"/>
      <c r="C95" s="1047"/>
      <c r="D95" s="1047"/>
      <c r="E95" s="1047"/>
      <c r="F95" s="54" t="s">
        <v>12</v>
      </c>
      <c r="G95" s="96" t="s">
        <v>1111</v>
      </c>
      <c r="H95" s="61">
        <v>2</v>
      </c>
      <c r="J95" s="1043"/>
      <c r="K95" s="1041"/>
    </row>
    <row r="96" spans="1:11" x14ac:dyDescent="0.25">
      <c r="A96" s="1034"/>
      <c r="B96" s="1025"/>
      <c r="C96" s="1048"/>
      <c r="D96" s="1048"/>
      <c r="E96" s="1048"/>
      <c r="F96" s="55" t="s">
        <v>13</v>
      </c>
      <c r="G96" s="97" t="s">
        <v>36</v>
      </c>
      <c r="H96" s="77">
        <v>1</v>
      </c>
      <c r="I96" s="5"/>
      <c r="J96" s="1044"/>
      <c r="K96" s="1041"/>
    </row>
    <row r="97" spans="1:11" x14ac:dyDescent="0.25">
      <c r="A97" s="1032" t="s">
        <v>166</v>
      </c>
      <c r="B97" s="1004" t="s">
        <v>157</v>
      </c>
      <c r="C97" s="1023" t="s">
        <v>167</v>
      </c>
      <c r="D97" s="1004">
        <f>'Secondary data calculation'!C32</f>
        <v>0</v>
      </c>
      <c r="E97" s="1004"/>
      <c r="F97" s="7" t="s">
        <v>11</v>
      </c>
      <c r="G97" s="7" t="s">
        <v>359</v>
      </c>
      <c r="H97" s="66" t="s">
        <v>439</v>
      </c>
      <c r="I97" s="6"/>
      <c r="J97" s="1045" t="b">
        <f>IF(D97=H99,F99,IF(D97=H98,F98,IF(D97=H97,F97)))</f>
        <v>0</v>
      </c>
      <c r="K97" s="1041" t="b">
        <f t="shared" ref="K97" si="19">J97</f>
        <v>0</v>
      </c>
    </row>
    <row r="98" spans="1:11" x14ac:dyDescent="0.25">
      <c r="A98" s="1033"/>
      <c r="B98" s="1024"/>
      <c r="C98" s="1024"/>
      <c r="D98" s="1005"/>
      <c r="E98" s="1005"/>
      <c r="F98" s="6" t="s">
        <v>12</v>
      </c>
      <c r="G98" s="6" t="s">
        <v>358</v>
      </c>
      <c r="H98" s="66" t="s">
        <v>361</v>
      </c>
      <c r="I98" s="6"/>
      <c r="J98" s="1045"/>
      <c r="K98" s="1041"/>
    </row>
    <row r="99" spans="1:11" x14ac:dyDescent="0.25">
      <c r="A99" s="1034"/>
      <c r="B99" s="1025"/>
      <c r="C99" s="1025"/>
      <c r="D99" s="1006"/>
      <c r="E99" s="1006"/>
      <c r="F99" s="8" t="s">
        <v>13</v>
      </c>
      <c r="G99" s="8" t="s">
        <v>357</v>
      </c>
      <c r="H99" s="66" t="s">
        <v>353</v>
      </c>
      <c r="I99" s="6"/>
      <c r="J99" s="1045"/>
      <c r="K99" s="1041"/>
    </row>
    <row r="100" spans="1:11" x14ac:dyDescent="0.25">
      <c r="A100" s="1032" t="s">
        <v>168</v>
      </c>
      <c r="B100" s="1004" t="s">
        <v>157</v>
      </c>
      <c r="C100" s="1023" t="s">
        <v>167</v>
      </c>
      <c r="D100" s="1049" t="e">
        <f>'Secondary data calculation'!C35</f>
        <v>#DIV/0!</v>
      </c>
      <c r="E100" s="1049"/>
      <c r="F100" s="85" t="s">
        <v>11</v>
      </c>
      <c r="G100" s="7" t="s">
        <v>191</v>
      </c>
      <c r="H100" s="72">
        <v>1.5</v>
      </c>
      <c r="I100" s="7"/>
      <c r="J100" s="1042" t="e">
        <f>IF(D100&lt;H102,F102,IF(D100&lt;H101,F101,IF(D100&gt;=H100,F100)))</f>
        <v>#DIV/0!</v>
      </c>
      <c r="K100" s="1041" t="e">
        <f t="shared" ref="K100" si="20">J100</f>
        <v>#DIV/0!</v>
      </c>
    </row>
    <row r="101" spans="1:11" x14ac:dyDescent="0.25">
      <c r="A101" s="1033"/>
      <c r="B101" s="1024"/>
      <c r="C101" s="1024"/>
      <c r="D101" s="1050"/>
      <c r="E101" s="1050"/>
      <c r="F101" s="58" t="s">
        <v>12</v>
      </c>
      <c r="G101" s="6" t="s">
        <v>192</v>
      </c>
      <c r="H101" s="66">
        <v>1.5</v>
      </c>
      <c r="I101" s="6"/>
      <c r="J101" s="1043"/>
      <c r="K101" s="1041"/>
    </row>
    <row r="102" spans="1:11" x14ac:dyDescent="0.25">
      <c r="A102" s="1034"/>
      <c r="B102" s="1025"/>
      <c r="C102" s="1025"/>
      <c r="D102" s="1051"/>
      <c r="E102" s="1051"/>
      <c r="F102" s="86" t="s">
        <v>13</v>
      </c>
      <c r="G102" s="8" t="s">
        <v>36</v>
      </c>
      <c r="H102" s="73">
        <v>1</v>
      </c>
      <c r="I102" s="8"/>
      <c r="J102" s="1044"/>
      <c r="K102" s="1041"/>
    </row>
    <row r="103" spans="1:11" x14ac:dyDescent="0.25">
      <c r="A103" s="1032" t="s">
        <v>169</v>
      </c>
      <c r="B103" s="1004" t="s">
        <v>170</v>
      </c>
      <c r="C103" s="1023" t="s">
        <v>167</v>
      </c>
      <c r="D103" s="1038" t="e">
        <f>'Secondary data calculation'!C36</f>
        <v>#DIV/0!</v>
      </c>
      <c r="E103" s="1038"/>
      <c r="F103" s="85" t="s">
        <v>11</v>
      </c>
      <c r="G103" s="7" t="s">
        <v>131</v>
      </c>
      <c r="H103" s="72">
        <v>0.8</v>
      </c>
      <c r="I103" s="7"/>
      <c r="J103" s="1042" t="e">
        <f t="shared" ref="J103" si="21">IF(D103&lt;H105,F105,IF(D103&lt;H104,F104,IF(D103&gt;=H103,F103)))</f>
        <v>#DIV/0!</v>
      </c>
      <c r="K103" s="1041" t="e">
        <f t="shared" ref="K103" si="22">J103</f>
        <v>#DIV/0!</v>
      </c>
    </row>
    <row r="104" spans="1:11" x14ac:dyDescent="0.25">
      <c r="A104" s="1033"/>
      <c r="B104" s="1024"/>
      <c r="C104" s="1024"/>
      <c r="D104" s="1039"/>
      <c r="E104" s="1039"/>
      <c r="F104" s="58" t="s">
        <v>12</v>
      </c>
      <c r="G104" s="6" t="s">
        <v>171</v>
      </c>
      <c r="H104" s="66">
        <v>0.8</v>
      </c>
      <c r="I104" s="6"/>
      <c r="J104" s="1043"/>
      <c r="K104" s="1041"/>
    </row>
    <row r="105" spans="1:11" x14ac:dyDescent="0.25">
      <c r="A105" s="1034"/>
      <c r="B105" s="1025"/>
      <c r="C105" s="1025"/>
      <c r="D105" s="1040"/>
      <c r="E105" s="1040"/>
      <c r="F105" s="86" t="s">
        <v>13</v>
      </c>
      <c r="G105" s="8" t="s">
        <v>172</v>
      </c>
      <c r="H105" s="73">
        <v>0.6</v>
      </c>
      <c r="I105" s="8"/>
      <c r="J105" s="1044"/>
      <c r="K105" s="1041"/>
    </row>
    <row r="106" spans="1:11" x14ac:dyDescent="0.25">
      <c r="A106" s="1032" t="s">
        <v>177</v>
      </c>
      <c r="B106" s="1004" t="s">
        <v>170</v>
      </c>
      <c r="C106" s="1023" t="s">
        <v>167</v>
      </c>
      <c r="D106" s="1038" t="e">
        <f>'Secondary data calculation'!C37</f>
        <v>#DIV/0!</v>
      </c>
      <c r="E106" s="1038"/>
      <c r="F106" s="85" t="s">
        <v>11</v>
      </c>
      <c r="G106" s="7" t="s">
        <v>175</v>
      </c>
      <c r="H106" s="72">
        <v>0.3</v>
      </c>
      <c r="I106" s="7"/>
      <c r="J106" s="1042" t="e">
        <f t="shared" ref="J106" si="23">IF(D106&lt;H108,F108,IF(D106&lt;H107,F107,IF(D106&gt;=H106,F106)))</f>
        <v>#DIV/0!</v>
      </c>
      <c r="K106" s="1041" t="e">
        <f t="shared" ref="K106" si="24">J106</f>
        <v>#DIV/0!</v>
      </c>
    </row>
    <row r="107" spans="1:11" x14ac:dyDescent="0.25">
      <c r="A107" s="1033"/>
      <c r="B107" s="1024"/>
      <c r="C107" s="1024"/>
      <c r="D107" s="1039"/>
      <c r="E107" s="1039"/>
      <c r="F107" s="58" t="s">
        <v>12</v>
      </c>
      <c r="G107" s="6" t="s">
        <v>176</v>
      </c>
      <c r="H107" s="66">
        <v>0.3</v>
      </c>
      <c r="I107" s="6"/>
      <c r="J107" s="1043"/>
      <c r="K107" s="1041"/>
    </row>
    <row r="108" spans="1:11" x14ac:dyDescent="0.25">
      <c r="A108" s="1034"/>
      <c r="B108" s="1025"/>
      <c r="C108" s="1025"/>
      <c r="D108" s="1040"/>
      <c r="E108" s="1040"/>
      <c r="F108" s="86" t="s">
        <v>13</v>
      </c>
      <c r="G108" s="8" t="s">
        <v>48</v>
      </c>
      <c r="H108" s="73">
        <v>0.1</v>
      </c>
      <c r="I108" s="8"/>
      <c r="J108" s="1044"/>
      <c r="K108" s="1041"/>
    </row>
    <row r="109" spans="1:11" x14ac:dyDescent="0.25">
      <c r="A109" s="1032" t="s">
        <v>178</v>
      </c>
      <c r="B109" s="1004" t="s">
        <v>170</v>
      </c>
      <c r="C109" s="1023" t="s">
        <v>167</v>
      </c>
      <c r="D109" s="1038" t="e">
        <f>'Secondary data calculation'!C40</f>
        <v>#DIV/0!</v>
      </c>
      <c r="E109" s="1038"/>
      <c r="F109" s="85" t="s">
        <v>11</v>
      </c>
      <c r="G109" s="7" t="s">
        <v>180</v>
      </c>
      <c r="H109" s="72" t="s">
        <v>353</v>
      </c>
      <c r="I109" s="7"/>
      <c r="J109" s="1042" t="e">
        <f>IF(D109=H111,F111,IF(D109=H110,F110,IF(D109=H109,F109)))</f>
        <v>#DIV/0!</v>
      </c>
      <c r="K109" s="1041" t="e">
        <f t="shared" ref="K109" si="25">J109</f>
        <v>#DIV/0!</v>
      </c>
    </row>
    <row r="110" spans="1:11" x14ac:dyDescent="0.25">
      <c r="A110" s="1033"/>
      <c r="B110" s="1024"/>
      <c r="C110" s="1024"/>
      <c r="D110" s="1039"/>
      <c r="E110" s="1039"/>
      <c r="F110" s="58" t="s">
        <v>12</v>
      </c>
      <c r="G110" s="6" t="s">
        <v>494</v>
      </c>
      <c r="H110" s="66" t="s">
        <v>361</v>
      </c>
      <c r="I110" s="6"/>
      <c r="J110" s="1043"/>
      <c r="K110" s="1041"/>
    </row>
    <row r="111" spans="1:11" x14ac:dyDescent="0.25">
      <c r="A111" s="1034"/>
      <c r="B111" s="1025"/>
      <c r="C111" s="1025"/>
      <c r="D111" s="1040"/>
      <c r="E111" s="1040"/>
      <c r="F111" s="86" t="s">
        <v>13</v>
      </c>
      <c r="G111" s="8" t="s">
        <v>495</v>
      </c>
      <c r="H111" s="73" t="s">
        <v>439</v>
      </c>
      <c r="I111" s="8"/>
      <c r="J111" s="1044"/>
      <c r="K111" s="1041"/>
    </row>
    <row r="112" spans="1:11" x14ac:dyDescent="0.25">
      <c r="A112" s="1032" t="s">
        <v>324</v>
      </c>
      <c r="B112" s="1004" t="s">
        <v>170</v>
      </c>
      <c r="C112" s="1023" t="s">
        <v>167</v>
      </c>
      <c r="D112" s="1004">
        <f>'Secondary data calculation'!C31</f>
        <v>0</v>
      </c>
      <c r="E112" s="1004"/>
      <c r="F112" s="7" t="s">
        <v>325</v>
      </c>
      <c r="G112" s="7"/>
      <c r="H112" s="72"/>
      <c r="I112" s="7"/>
      <c r="J112" s="1014">
        <f>D112</f>
        <v>0</v>
      </c>
      <c r="K112" s="939">
        <f>J112</f>
        <v>0</v>
      </c>
    </row>
    <row r="113" spans="1:11" x14ac:dyDescent="0.25">
      <c r="A113" s="1033"/>
      <c r="B113" s="1024"/>
      <c r="C113" s="1024"/>
      <c r="D113" s="1006"/>
      <c r="E113" s="1006"/>
      <c r="F113" s="6" t="s">
        <v>326</v>
      </c>
      <c r="G113" s="6"/>
      <c r="H113" s="66"/>
      <c r="I113" s="6"/>
      <c r="J113" s="1015"/>
      <c r="K113" s="1010"/>
    </row>
    <row r="114" spans="1:11" x14ac:dyDescent="0.25">
      <c r="A114" s="1032" t="s">
        <v>182</v>
      </c>
      <c r="B114" s="1004" t="s">
        <v>181</v>
      </c>
      <c r="C114" s="1023" t="s">
        <v>70</v>
      </c>
      <c r="D114" s="1054">
        <f>'Secondary data calculation'!C94</f>
        <v>0</v>
      </c>
      <c r="E114" s="1054"/>
      <c r="F114" s="7" t="s">
        <v>11</v>
      </c>
      <c r="G114" s="7" t="s">
        <v>49</v>
      </c>
      <c r="H114" s="72">
        <v>0.2</v>
      </c>
      <c r="I114" s="7"/>
      <c r="J114" s="1014" t="str">
        <f>IF(D114&lt;H116,F116,IF(D114&lt;H115,F115,IF(D114&gt;=H114,F114)))</f>
        <v>Low</v>
      </c>
      <c r="K114" s="939" t="str">
        <f>J114</f>
        <v>Low</v>
      </c>
    </row>
    <row r="115" spans="1:11" x14ac:dyDescent="0.25">
      <c r="A115" s="1033"/>
      <c r="B115" s="1024"/>
      <c r="C115" s="1024"/>
      <c r="D115" s="1055"/>
      <c r="E115" s="1055"/>
      <c r="F115" s="6" t="s">
        <v>12</v>
      </c>
      <c r="G115" s="6" t="s">
        <v>50</v>
      </c>
      <c r="H115" s="66">
        <v>0.2</v>
      </c>
      <c r="I115" s="6"/>
      <c r="J115" s="1015"/>
      <c r="K115" s="1010"/>
    </row>
    <row r="116" spans="1:11" x14ac:dyDescent="0.25">
      <c r="A116" s="1034"/>
      <c r="B116" s="1025"/>
      <c r="C116" s="1025"/>
      <c r="D116" s="1056"/>
      <c r="E116" s="1056"/>
      <c r="F116" s="8" t="s">
        <v>13</v>
      </c>
      <c r="G116" s="8" t="s">
        <v>51</v>
      </c>
      <c r="H116" s="73">
        <v>0.04</v>
      </c>
      <c r="I116" s="8"/>
      <c r="J116" s="1016"/>
      <c r="K116" s="944"/>
    </row>
    <row r="117" spans="1:11" x14ac:dyDescent="0.25">
      <c r="A117" s="1032" t="s">
        <v>184</v>
      </c>
      <c r="B117" s="1004" t="s">
        <v>181</v>
      </c>
      <c r="C117" s="1023" t="s">
        <v>70</v>
      </c>
      <c r="D117" s="1052">
        <f>'Secondary data calculation'!C98</f>
        <v>0</v>
      </c>
      <c r="E117" s="1052"/>
      <c r="F117" s="7" t="s">
        <v>11</v>
      </c>
      <c r="G117" s="7" t="s">
        <v>185</v>
      </c>
      <c r="H117" s="72">
        <v>45</v>
      </c>
      <c r="I117" s="7"/>
      <c r="J117" s="1014" t="str">
        <f>IF(D117&lt;H119,F119,IF(D117&lt;H118,F118,IF(D117&gt;=H117,F117)))</f>
        <v>Low</v>
      </c>
      <c r="K117" s="939" t="str">
        <f>J117</f>
        <v>Low</v>
      </c>
    </row>
    <row r="118" spans="1:11" x14ac:dyDescent="0.25">
      <c r="A118" s="1033"/>
      <c r="B118" s="1024"/>
      <c r="C118" s="1024"/>
      <c r="D118" s="1053"/>
      <c r="E118" s="1053"/>
      <c r="F118" s="6" t="s">
        <v>12</v>
      </c>
      <c r="G118" s="6" t="s">
        <v>186</v>
      </c>
      <c r="H118" s="66">
        <v>45</v>
      </c>
      <c r="I118" s="6"/>
      <c r="J118" s="1015"/>
      <c r="K118" s="1010"/>
    </row>
    <row r="119" spans="1:11" x14ac:dyDescent="0.25">
      <c r="A119" s="1034"/>
      <c r="B119" s="1025"/>
      <c r="C119" s="1025"/>
      <c r="D119" s="1053"/>
      <c r="E119" s="1053"/>
      <c r="F119" s="8" t="s">
        <v>13</v>
      </c>
      <c r="G119" s="8" t="s">
        <v>187</v>
      </c>
      <c r="H119" s="73">
        <v>22</v>
      </c>
      <c r="I119" s="8"/>
      <c r="J119" s="1016"/>
      <c r="K119" s="944"/>
    </row>
    <row r="120" spans="1:11" x14ac:dyDescent="0.25">
      <c r="A120" s="1032" t="s">
        <v>327</v>
      </c>
      <c r="B120" s="1004" t="s">
        <v>188</v>
      </c>
      <c r="C120" s="1004" t="s">
        <v>306</v>
      </c>
      <c r="D120" s="1057" t="e">
        <f>'Secondary data calculation'!C99</f>
        <v>#DIV/0!</v>
      </c>
      <c r="E120" s="1057"/>
      <c r="F120" s="85" t="s">
        <v>10</v>
      </c>
      <c r="G120" s="3" t="s">
        <v>316</v>
      </c>
      <c r="H120" s="75">
        <v>17.5</v>
      </c>
      <c r="I120" s="3"/>
      <c r="J120" s="1014" t="e">
        <f>IF(D120&lt;H124,F124,IF(D120&lt;H123,F123,IF(D120&lt;H122,F122,IF(D120&lt;H121,F121,IF(D120&gt;=H120,F120)))))</f>
        <v>#DIV/0!</v>
      </c>
      <c r="K120" s="939" t="e">
        <f>J120</f>
        <v>#DIV/0!</v>
      </c>
    </row>
    <row r="121" spans="1:11" x14ac:dyDescent="0.25">
      <c r="A121" s="1033"/>
      <c r="B121" s="1005"/>
      <c r="C121" s="1005"/>
      <c r="D121" s="1058"/>
      <c r="E121" s="1058"/>
      <c r="F121" s="58" t="s">
        <v>11</v>
      </c>
      <c r="G121" s="6" t="s">
        <v>318</v>
      </c>
      <c r="H121" s="66">
        <v>17.5</v>
      </c>
      <c r="I121" s="6"/>
      <c r="J121" s="1015"/>
      <c r="K121" s="1010"/>
    </row>
    <row r="122" spans="1:11" x14ac:dyDescent="0.25">
      <c r="A122" s="1033"/>
      <c r="B122" s="1005"/>
      <c r="C122" s="1005"/>
      <c r="D122" s="1058"/>
      <c r="E122" s="1058"/>
      <c r="F122" s="58" t="s">
        <v>12</v>
      </c>
      <c r="G122" s="6" t="s">
        <v>317</v>
      </c>
      <c r="H122" s="66">
        <v>12.5</v>
      </c>
      <c r="I122" s="6"/>
      <c r="J122" s="1015"/>
      <c r="K122" s="1010"/>
    </row>
    <row r="123" spans="1:11" x14ac:dyDescent="0.25">
      <c r="A123" s="1033"/>
      <c r="B123" s="1024"/>
      <c r="C123" s="1005"/>
      <c r="D123" s="1058"/>
      <c r="E123" s="1058"/>
      <c r="F123" s="58" t="s">
        <v>13</v>
      </c>
      <c r="G123" s="6" t="s">
        <v>319</v>
      </c>
      <c r="H123" s="66">
        <v>7.5</v>
      </c>
      <c r="I123" s="6"/>
      <c r="J123" s="1015"/>
      <c r="K123" s="1010"/>
    </row>
    <row r="124" spans="1:11" x14ac:dyDescent="0.25">
      <c r="A124" s="1034"/>
      <c r="B124" s="1025"/>
      <c r="C124" s="1006"/>
      <c r="D124" s="1059"/>
      <c r="E124" s="1059"/>
      <c r="F124" s="86" t="s">
        <v>14</v>
      </c>
      <c r="G124" s="5" t="s">
        <v>320</v>
      </c>
      <c r="H124" s="77">
        <v>2.5</v>
      </c>
      <c r="I124" s="5"/>
      <c r="J124" s="1016"/>
      <c r="K124" s="944"/>
    </row>
    <row r="125" spans="1:11" x14ac:dyDescent="0.25">
      <c r="A125" s="1033" t="s">
        <v>193</v>
      </c>
      <c r="B125" s="1005" t="s">
        <v>188</v>
      </c>
      <c r="C125" s="1005" t="s">
        <v>69</v>
      </c>
      <c r="D125" s="1007" t="e">
        <f>'Secondary data calculation'!C100</f>
        <v>#DIV/0!</v>
      </c>
      <c r="E125" s="1007"/>
      <c r="F125" s="56" t="s">
        <v>10</v>
      </c>
      <c r="G125" t="s">
        <v>198</v>
      </c>
      <c r="H125" s="66">
        <v>4</v>
      </c>
      <c r="J125" s="1014" t="e">
        <f>IF(D125&lt;H125,F125,IF(D125&lt;H126,F126,IF(D125&lt;H127,F127,IF(D125&lt;H128,F128,IF(D125&gt;=H129,F129)))))</f>
        <v>#DIV/0!</v>
      </c>
      <c r="K125" s="939" t="e">
        <f t="shared" ref="K125" si="26">J125</f>
        <v>#DIV/0!</v>
      </c>
    </row>
    <row r="126" spans="1:11" x14ac:dyDescent="0.25">
      <c r="A126" s="1033"/>
      <c r="B126" s="1005"/>
      <c r="C126" s="1005"/>
      <c r="D126" s="1008"/>
      <c r="E126" s="1008"/>
      <c r="F126" s="56" t="s">
        <v>11</v>
      </c>
      <c r="G126" t="s">
        <v>197</v>
      </c>
      <c r="H126" s="66">
        <v>4.5</v>
      </c>
      <c r="J126" s="1015"/>
      <c r="K126" s="1010"/>
    </row>
    <row r="127" spans="1:11" x14ac:dyDescent="0.25">
      <c r="A127" s="1033"/>
      <c r="B127" s="1005"/>
      <c r="C127" s="1005"/>
      <c r="D127" s="1008"/>
      <c r="E127" s="1008"/>
      <c r="F127" s="56" t="s">
        <v>12</v>
      </c>
      <c r="G127" t="s">
        <v>196</v>
      </c>
      <c r="H127" s="66">
        <v>5.5</v>
      </c>
      <c r="J127" s="1015"/>
      <c r="K127" s="1010"/>
    </row>
    <row r="128" spans="1:11" x14ac:dyDescent="0.25">
      <c r="A128" s="1033"/>
      <c r="B128" s="1005"/>
      <c r="C128" s="1005"/>
      <c r="D128" s="1008"/>
      <c r="E128" s="1008"/>
      <c r="F128" s="56" t="s">
        <v>13</v>
      </c>
      <c r="G128" t="s">
        <v>195</v>
      </c>
      <c r="H128" s="61">
        <v>6.5</v>
      </c>
      <c r="J128" s="1015"/>
      <c r="K128" s="1010"/>
    </row>
    <row r="129" spans="1:11" x14ac:dyDescent="0.25">
      <c r="A129" s="1034"/>
      <c r="B129" s="1006"/>
      <c r="C129" s="1006"/>
      <c r="D129" s="1009"/>
      <c r="E129" s="1009"/>
      <c r="F129" s="86" t="s">
        <v>14</v>
      </c>
      <c r="G129" t="s">
        <v>194</v>
      </c>
      <c r="H129" s="61">
        <v>6.5</v>
      </c>
      <c r="J129" s="1016"/>
      <c r="K129" s="944"/>
    </row>
    <row r="130" spans="1:11" x14ac:dyDescent="0.25">
      <c r="A130" s="1032" t="s">
        <v>199</v>
      </c>
      <c r="B130" s="1004" t="s">
        <v>200</v>
      </c>
      <c r="C130" s="1004" t="s">
        <v>201</v>
      </c>
      <c r="D130" s="1007" t="e">
        <f>'Secondary data calculation'!C101</f>
        <v>#DIV/0!</v>
      </c>
      <c r="E130" s="1007"/>
      <c r="F130" s="85" t="s">
        <v>10</v>
      </c>
      <c r="G130" s="3" t="s">
        <v>498</v>
      </c>
      <c r="H130" s="75">
        <v>1.2</v>
      </c>
      <c r="I130" s="3"/>
      <c r="J130" s="1014" t="e">
        <f>IF(D130&lt;H134,F134,IF(D130&lt;H133,F133,IF(D130&lt;H132,F132,IF(D130&lt;H131,F131,IF(D130&gt;=H130,F130)))))</f>
        <v>#DIV/0!</v>
      </c>
      <c r="K130" s="939" t="e">
        <f t="shared" ref="K130" si="27">J130</f>
        <v>#DIV/0!</v>
      </c>
    </row>
    <row r="131" spans="1:11" x14ac:dyDescent="0.25">
      <c r="A131" s="1033"/>
      <c r="B131" s="1005"/>
      <c r="C131" s="1005"/>
      <c r="D131" s="1008"/>
      <c r="E131" s="1008"/>
      <c r="F131" s="58" t="s">
        <v>11</v>
      </c>
      <c r="G131" s="4" t="s">
        <v>499</v>
      </c>
      <c r="H131" s="66">
        <v>1.2</v>
      </c>
      <c r="I131" s="4"/>
      <c r="J131" s="1015"/>
      <c r="K131" s="1010"/>
    </row>
    <row r="132" spans="1:11" x14ac:dyDescent="0.25">
      <c r="A132" s="1033"/>
      <c r="B132" s="1005"/>
      <c r="C132" s="1005"/>
      <c r="D132" s="1008"/>
      <c r="E132" s="1008"/>
      <c r="F132" s="58" t="s">
        <v>12</v>
      </c>
      <c r="G132" s="4" t="s">
        <v>500</v>
      </c>
      <c r="H132" s="66">
        <v>0.9</v>
      </c>
      <c r="I132" s="4"/>
      <c r="J132" s="1015"/>
      <c r="K132" s="1010"/>
    </row>
    <row r="133" spans="1:11" x14ac:dyDescent="0.25">
      <c r="A133" s="1033"/>
      <c r="B133" s="1005"/>
      <c r="C133" s="1005"/>
      <c r="D133" s="1008"/>
      <c r="E133" s="1008"/>
      <c r="F133" s="58" t="s">
        <v>13</v>
      </c>
      <c r="G133" s="4" t="s">
        <v>501</v>
      </c>
      <c r="H133" s="76">
        <v>0.7</v>
      </c>
      <c r="I133" s="4"/>
      <c r="J133" s="1015"/>
      <c r="K133" s="1010"/>
    </row>
    <row r="134" spans="1:11" x14ac:dyDescent="0.25">
      <c r="A134" s="1034"/>
      <c r="B134" s="1006"/>
      <c r="C134" s="1006"/>
      <c r="D134" s="1009"/>
      <c r="E134" s="1009"/>
      <c r="F134" s="86" t="s">
        <v>14</v>
      </c>
      <c r="G134" s="5" t="s">
        <v>502</v>
      </c>
      <c r="H134" s="77">
        <v>0.4</v>
      </c>
      <c r="I134" s="5"/>
      <c r="J134" s="1016"/>
      <c r="K134" s="944"/>
    </row>
    <row r="135" spans="1:11" x14ac:dyDescent="0.25">
      <c r="A135" s="1032" t="s">
        <v>202</v>
      </c>
      <c r="B135" s="1004" t="s">
        <v>207</v>
      </c>
      <c r="C135" s="1023" t="s">
        <v>70</v>
      </c>
      <c r="D135" s="1038" t="e">
        <f>'Secondary data calculation'!C14</f>
        <v>#DIV/0!</v>
      </c>
      <c r="E135" s="1038"/>
      <c r="F135" s="85" t="s">
        <v>11</v>
      </c>
      <c r="G135" s="7" t="s">
        <v>203</v>
      </c>
      <c r="H135" s="72">
        <v>0.6</v>
      </c>
      <c r="I135" s="7"/>
      <c r="J135" s="1014" t="e">
        <f>IF(D135&lt;H137,F137,IF(D135&lt;H136,F136,IF(D135&gt;=H135,F135)))</f>
        <v>#DIV/0!</v>
      </c>
      <c r="K135" s="939" t="e">
        <f>J135</f>
        <v>#DIV/0!</v>
      </c>
    </row>
    <row r="136" spans="1:11" x14ac:dyDescent="0.25">
      <c r="A136" s="1033"/>
      <c r="B136" s="1024"/>
      <c r="C136" s="1024"/>
      <c r="D136" s="1039"/>
      <c r="E136" s="1039"/>
      <c r="F136" s="58" t="s">
        <v>12</v>
      </c>
      <c r="G136" s="6" t="s">
        <v>204</v>
      </c>
      <c r="H136" s="66">
        <v>0.6</v>
      </c>
      <c r="I136" s="6"/>
      <c r="J136" s="1015"/>
      <c r="K136" s="1010"/>
    </row>
    <row r="137" spans="1:11" x14ac:dyDescent="0.25">
      <c r="A137" s="1034"/>
      <c r="B137" s="1025"/>
      <c r="C137" s="1025"/>
      <c r="D137" s="1040"/>
      <c r="E137" s="1040"/>
      <c r="F137" s="86" t="s">
        <v>13</v>
      </c>
      <c r="G137" s="8" t="s">
        <v>205</v>
      </c>
      <c r="H137" s="73">
        <v>0.4</v>
      </c>
      <c r="I137" s="8"/>
      <c r="J137" s="1016"/>
      <c r="K137" s="944"/>
    </row>
    <row r="138" spans="1:11" x14ac:dyDescent="0.25">
      <c r="A138" s="1032" t="s">
        <v>206</v>
      </c>
      <c r="B138" s="1004" t="s">
        <v>200</v>
      </c>
      <c r="C138" s="1023" t="s">
        <v>167</v>
      </c>
      <c r="D138" s="1004">
        <f>'Secondary data calculation'!C95</f>
        <v>0</v>
      </c>
      <c r="E138" s="1004"/>
      <c r="F138" s="85" t="s">
        <v>11</v>
      </c>
      <c r="G138" s="7" t="s">
        <v>369</v>
      </c>
      <c r="H138" s="66" t="s">
        <v>353</v>
      </c>
      <c r="I138" s="6"/>
      <c r="J138" s="1014" t="b">
        <f>IF(D138=H140,F140,IF(D138=H139,F139,IF(D138=H138,F138)))</f>
        <v>0</v>
      </c>
      <c r="K138" s="1041" t="b">
        <f>J138</f>
        <v>0</v>
      </c>
    </row>
    <row r="139" spans="1:11" x14ac:dyDescent="0.25">
      <c r="A139" s="1033"/>
      <c r="B139" s="1024"/>
      <c r="C139" s="1024"/>
      <c r="D139" s="1005"/>
      <c r="E139" s="1005"/>
      <c r="F139" s="58" t="s">
        <v>12</v>
      </c>
      <c r="G139" s="6" t="s">
        <v>370</v>
      </c>
      <c r="H139" s="66" t="s">
        <v>361</v>
      </c>
      <c r="I139" s="6"/>
      <c r="J139" s="1015"/>
      <c r="K139" s="1041"/>
    </row>
    <row r="140" spans="1:11" x14ac:dyDescent="0.25">
      <c r="A140" s="1034"/>
      <c r="B140" s="1025"/>
      <c r="C140" s="1025"/>
      <c r="D140" s="1006"/>
      <c r="E140" s="1006"/>
      <c r="F140" s="86" t="s">
        <v>13</v>
      </c>
      <c r="G140" s="8" t="s">
        <v>371</v>
      </c>
      <c r="H140" s="66" t="s">
        <v>439</v>
      </c>
      <c r="I140" s="6"/>
      <c r="J140" s="1016"/>
      <c r="K140" s="1041"/>
    </row>
    <row r="141" spans="1:11" x14ac:dyDescent="0.25">
      <c r="A141" s="1032" t="s">
        <v>208</v>
      </c>
      <c r="B141" s="1004" t="s">
        <v>210</v>
      </c>
      <c r="C141" s="1023" t="s">
        <v>72</v>
      </c>
      <c r="D141" s="1049" t="e">
        <f>'Secondary data calculation'!C102</f>
        <v>#DIV/0!</v>
      </c>
      <c r="E141" s="1049"/>
      <c r="F141" s="85" t="s">
        <v>11</v>
      </c>
      <c r="G141" s="7" t="s">
        <v>211</v>
      </c>
      <c r="H141" s="72">
        <v>0.06</v>
      </c>
      <c r="I141" s="7"/>
      <c r="J141" s="1014" t="e">
        <f t="shared" ref="J141" si="28">IF(D141&lt;H143,F143,IF(D141&lt;H142,F142,IF(D141&gt;=H141,F141)))</f>
        <v>#DIV/0!</v>
      </c>
      <c r="K141" s="1041" t="e">
        <f t="shared" ref="K141" si="29">J141</f>
        <v>#DIV/0!</v>
      </c>
    </row>
    <row r="142" spans="1:11" x14ac:dyDescent="0.25">
      <c r="A142" s="1033"/>
      <c r="B142" s="1024"/>
      <c r="C142" s="1024"/>
      <c r="D142" s="1050"/>
      <c r="E142" s="1050"/>
      <c r="F142" s="56" t="s">
        <v>12</v>
      </c>
      <c r="G142" s="6" t="s">
        <v>212</v>
      </c>
      <c r="H142" s="66">
        <v>0.04</v>
      </c>
      <c r="I142" s="6"/>
      <c r="J142" s="1015"/>
      <c r="K142" s="1041"/>
    </row>
    <row r="143" spans="1:11" x14ac:dyDescent="0.25">
      <c r="A143" s="1034"/>
      <c r="B143" s="1025"/>
      <c r="C143" s="1025"/>
      <c r="D143" s="1051"/>
      <c r="E143" s="1051"/>
      <c r="F143" s="86" t="s">
        <v>13</v>
      </c>
      <c r="G143" s="8" t="s">
        <v>213</v>
      </c>
      <c r="H143" s="73">
        <v>0.04</v>
      </c>
      <c r="I143" s="8"/>
      <c r="J143" s="1016"/>
      <c r="K143" s="1041"/>
    </row>
    <row r="144" spans="1:11" x14ac:dyDescent="0.25">
      <c r="A144" s="1032" t="s">
        <v>214</v>
      </c>
      <c r="B144" s="1004" t="s">
        <v>210</v>
      </c>
      <c r="C144" s="1023" t="s">
        <v>307</v>
      </c>
      <c r="D144" s="1004" t="e">
        <f>'Secondary data calculation'!C103</f>
        <v>#DIV/0!</v>
      </c>
      <c r="E144" s="1004"/>
      <c r="F144" s="85" t="s">
        <v>11</v>
      </c>
      <c r="G144" s="7" t="s">
        <v>215</v>
      </c>
      <c r="H144" s="72">
        <v>94</v>
      </c>
      <c r="I144" s="7"/>
      <c r="J144" s="1014" t="e">
        <f t="shared" ref="J144" si="30">IF(D144&lt;H146,F146,IF(D144&lt;H145,F145,IF(D144&gt;=H144,F144)))</f>
        <v>#DIV/0!</v>
      </c>
      <c r="K144" s="1041" t="e">
        <f t="shared" ref="K144" si="31">J144</f>
        <v>#DIV/0!</v>
      </c>
    </row>
    <row r="145" spans="1:11" x14ac:dyDescent="0.25">
      <c r="A145" s="1033"/>
      <c r="B145" s="1024"/>
      <c r="C145" s="1024"/>
      <c r="D145" s="1005"/>
      <c r="E145" s="1005"/>
      <c r="F145" s="56" t="s">
        <v>12</v>
      </c>
      <c r="G145" s="6" t="s">
        <v>216</v>
      </c>
      <c r="H145" s="66">
        <v>94</v>
      </c>
      <c r="I145" s="6"/>
      <c r="J145" s="1015"/>
      <c r="K145" s="1041"/>
    </row>
    <row r="146" spans="1:11" x14ac:dyDescent="0.25">
      <c r="A146" s="1034"/>
      <c r="B146" s="1025"/>
      <c r="C146" s="1025"/>
      <c r="D146" s="1006"/>
      <c r="E146" s="1006"/>
      <c r="F146" s="86" t="s">
        <v>13</v>
      </c>
      <c r="G146" s="8" t="s">
        <v>217</v>
      </c>
      <c r="H146" s="73">
        <v>40</v>
      </c>
      <c r="I146" s="8"/>
      <c r="J146" s="1016"/>
      <c r="K146" s="1041"/>
    </row>
    <row r="147" spans="1:11" x14ac:dyDescent="0.25">
      <c r="A147" s="1032" t="s">
        <v>218</v>
      </c>
      <c r="B147" s="1004" t="s">
        <v>210</v>
      </c>
      <c r="C147" s="1023" t="s">
        <v>307</v>
      </c>
      <c r="D147" s="1049" t="e">
        <f>'Secondary data calculation'!C104</f>
        <v>#DIV/0!</v>
      </c>
      <c r="E147" s="1049"/>
      <c r="F147" s="85" t="s">
        <v>11</v>
      </c>
      <c r="G147" s="7" t="s">
        <v>219</v>
      </c>
      <c r="H147" s="72">
        <v>405</v>
      </c>
      <c r="I147" s="7"/>
      <c r="J147" s="1014" t="e">
        <f t="shared" ref="J147" si="32">IF(D147&lt;H149,F149,IF(D147&lt;H148,F148,IF(D147&gt;=H147,F147)))</f>
        <v>#DIV/0!</v>
      </c>
      <c r="K147" s="1041" t="e">
        <f t="shared" ref="K147" si="33">J147</f>
        <v>#DIV/0!</v>
      </c>
    </row>
    <row r="148" spans="1:11" x14ac:dyDescent="0.25">
      <c r="A148" s="1033"/>
      <c r="B148" s="1024"/>
      <c r="C148" s="1024"/>
      <c r="D148" s="1050"/>
      <c r="E148" s="1050"/>
      <c r="F148" s="56" t="s">
        <v>12</v>
      </c>
      <c r="G148" s="6" t="s">
        <v>220</v>
      </c>
      <c r="H148" s="66">
        <v>405</v>
      </c>
      <c r="I148" s="6"/>
      <c r="J148" s="1015"/>
      <c r="K148" s="1041"/>
    </row>
    <row r="149" spans="1:11" x14ac:dyDescent="0.25">
      <c r="A149" s="1034"/>
      <c r="B149" s="1025"/>
      <c r="C149" s="1025"/>
      <c r="D149" s="1051"/>
      <c r="E149" s="1051"/>
      <c r="F149" s="86" t="s">
        <v>13</v>
      </c>
      <c r="G149" s="8" t="s">
        <v>221</v>
      </c>
      <c r="H149" s="73">
        <v>57</v>
      </c>
      <c r="I149" s="8"/>
      <c r="J149" s="1016"/>
      <c r="K149" s="1041"/>
    </row>
    <row r="150" spans="1:11" x14ac:dyDescent="0.25">
      <c r="A150" s="1032" t="s">
        <v>224</v>
      </c>
      <c r="B150" s="1004" t="s">
        <v>210</v>
      </c>
      <c r="C150" s="1023" t="s">
        <v>304</v>
      </c>
      <c r="D150" s="1049" t="e">
        <f>'Secondary data calculation'!C105</f>
        <v>#DIV/0!</v>
      </c>
      <c r="E150" s="1049"/>
      <c r="F150" s="85" t="s">
        <v>11</v>
      </c>
      <c r="G150" s="53" t="s">
        <v>225</v>
      </c>
      <c r="H150" s="72">
        <v>4</v>
      </c>
      <c r="I150" s="7"/>
      <c r="J150" s="1014" t="e">
        <f>IF(D150&lt;H152,F152,IF(D150&lt;H151,F151,IF(D150&gt;=H150,F150)))</f>
        <v>#DIV/0!</v>
      </c>
      <c r="K150" s="1041" t="e">
        <f t="shared" ref="K150" si="34">J150</f>
        <v>#DIV/0!</v>
      </c>
    </row>
    <row r="151" spans="1:11" x14ac:dyDescent="0.25">
      <c r="A151" s="1033"/>
      <c r="B151" s="1024"/>
      <c r="C151" s="1024"/>
      <c r="D151" s="1050"/>
      <c r="E151" s="1050"/>
      <c r="F151" s="56" t="s">
        <v>12</v>
      </c>
      <c r="G151" s="54" t="s">
        <v>226</v>
      </c>
      <c r="H151" s="66">
        <v>4</v>
      </c>
      <c r="I151" s="6"/>
      <c r="J151" s="1015"/>
      <c r="K151" s="1041"/>
    </row>
    <row r="152" spans="1:11" x14ac:dyDescent="0.25">
      <c r="A152" s="1034"/>
      <c r="B152" s="1025"/>
      <c r="C152" s="1025"/>
      <c r="D152" s="1051"/>
      <c r="E152" s="1051"/>
      <c r="F152" s="86" t="s">
        <v>13</v>
      </c>
      <c r="G152" s="55" t="s">
        <v>227</v>
      </c>
      <c r="H152" s="73">
        <v>0.2</v>
      </c>
      <c r="I152" s="8"/>
      <c r="J152" s="1016"/>
      <c r="K152" s="1041"/>
    </row>
    <row r="153" spans="1:11" x14ac:dyDescent="0.25">
      <c r="A153" s="1032" t="s">
        <v>229</v>
      </c>
      <c r="B153" s="1004" t="s">
        <v>230</v>
      </c>
      <c r="C153" s="1004" t="s">
        <v>301</v>
      </c>
      <c r="D153" s="1049">
        <f>'Secondary data calculation'!C84</f>
        <v>0</v>
      </c>
      <c r="E153" s="1049"/>
      <c r="F153" s="56" t="s">
        <v>10</v>
      </c>
      <c r="G153" s="6" t="s">
        <v>312</v>
      </c>
      <c r="H153" s="66">
        <v>8</v>
      </c>
      <c r="I153" s="6"/>
      <c r="J153" s="1014" t="str">
        <f>IF(D153&lt;H157,F157,IF(D153&lt;H156,F156,IF(D153&lt;H155,F155,IF(D153&lt;H154,F154,IF(D153&gt;=H153,F153)))))</f>
        <v>Very Low</v>
      </c>
      <c r="K153" s="939" t="str">
        <f>J153</f>
        <v>Very Low</v>
      </c>
    </row>
    <row r="154" spans="1:11" x14ac:dyDescent="0.25">
      <c r="A154" s="1033"/>
      <c r="B154" s="1005"/>
      <c r="C154" s="1005"/>
      <c r="D154" s="1050"/>
      <c r="E154" s="1050"/>
      <c r="F154" s="56" t="s">
        <v>11</v>
      </c>
      <c r="G154" t="s">
        <v>311</v>
      </c>
      <c r="H154" s="66">
        <v>8</v>
      </c>
      <c r="J154" s="1015"/>
      <c r="K154" s="1010"/>
    </row>
    <row r="155" spans="1:11" x14ac:dyDescent="0.25">
      <c r="A155" s="1033"/>
      <c r="B155" s="1005"/>
      <c r="C155" s="1005"/>
      <c r="D155" s="1050"/>
      <c r="E155" s="1050"/>
      <c r="F155" s="56" t="s">
        <v>12</v>
      </c>
      <c r="G155" s="6" t="s">
        <v>310</v>
      </c>
      <c r="H155" s="66">
        <v>6</v>
      </c>
      <c r="I155" s="6"/>
      <c r="J155" s="1015"/>
      <c r="K155" s="1010"/>
    </row>
    <row r="156" spans="1:11" x14ac:dyDescent="0.25">
      <c r="A156" s="1033"/>
      <c r="B156" s="1024"/>
      <c r="C156" s="1005"/>
      <c r="D156" s="1050"/>
      <c r="E156" s="1050"/>
      <c r="F156" s="56" t="s">
        <v>13</v>
      </c>
      <c r="G156" s="6" t="s">
        <v>309</v>
      </c>
      <c r="H156" s="66">
        <v>4.5</v>
      </c>
      <c r="I156" s="6"/>
      <c r="J156" s="1015"/>
      <c r="K156" s="1010"/>
    </row>
    <row r="157" spans="1:11" x14ac:dyDescent="0.25">
      <c r="A157" s="1034"/>
      <c r="B157" s="1025"/>
      <c r="C157" s="1006"/>
      <c r="D157" s="1051"/>
      <c r="E157" s="1051"/>
      <c r="F157" s="56" t="s">
        <v>14</v>
      </c>
      <c r="G157" s="6" t="s">
        <v>334</v>
      </c>
      <c r="H157" s="66">
        <v>2</v>
      </c>
      <c r="I157" s="6"/>
      <c r="J157" s="1016"/>
      <c r="K157" s="944"/>
    </row>
    <row r="158" spans="1:11" x14ac:dyDescent="0.25">
      <c r="A158" s="1032" t="s">
        <v>231</v>
      </c>
      <c r="B158" s="1004" t="s">
        <v>230</v>
      </c>
      <c r="C158" s="1004" t="s">
        <v>302</v>
      </c>
      <c r="D158" s="1004">
        <f>'Secondary data calculation'!C85</f>
        <v>0</v>
      </c>
      <c r="E158" s="1004"/>
      <c r="F158" s="85" t="s">
        <v>11</v>
      </c>
      <c r="G158" s="7" t="s">
        <v>233</v>
      </c>
      <c r="H158" s="72">
        <v>35</v>
      </c>
      <c r="I158" s="7"/>
      <c r="J158" s="1014" t="str">
        <f>IF(D158&lt;H160,F160,IF(D158&lt;H159,F159,IF(D158&gt;=H158,F158)))</f>
        <v>Low</v>
      </c>
      <c r="K158" s="939" t="str">
        <f>J158</f>
        <v>Low</v>
      </c>
    </row>
    <row r="159" spans="1:11" x14ac:dyDescent="0.25">
      <c r="A159" s="1033"/>
      <c r="B159" s="1024"/>
      <c r="C159" s="1005"/>
      <c r="D159" s="1005"/>
      <c r="E159" s="1005"/>
      <c r="F159" s="56" t="s">
        <v>12</v>
      </c>
      <c r="G159" s="6" t="s">
        <v>234</v>
      </c>
      <c r="H159" s="66">
        <v>35</v>
      </c>
      <c r="I159" s="6"/>
      <c r="J159" s="1015"/>
      <c r="K159" s="1010"/>
    </row>
    <row r="160" spans="1:11" x14ac:dyDescent="0.25">
      <c r="A160" s="1034"/>
      <c r="B160" s="1025"/>
      <c r="C160" s="1006"/>
      <c r="D160" s="1006"/>
      <c r="E160" s="1006"/>
      <c r="F160" s="86" t="s">
        <v>13</v>
      </c>
      <c r="G160" s="8" t="s">
        <v>235</v>
      </c>
      <c r="H160" s="73">
        <v>15</v>
      </c>
      <c r="I160" s="8"/>
      <c r="J160" s="1016"/>
      <c r="K160" s="944"/>
    </row>
    <row r="161" spans="1:11" x14ac:dyDescent="0.25">
      <c r="A161" s="1032" t="s">
        <v>232</v>
      </c>
      <c r="B161" s="1004" t="s">
        <v>230</v>
      </c>
      <c r="C161" s="1004" t="s">
        <v>303</v>
      </c>
      <c r="D161" s="1004">
        <f>'Secondary data calculation'!C86</f>
        <v>0</v>
      </c>
      <c r="E161" s="1004"/>
      <c r="F161" s="85" t="s">
        <v>11</v>
      </c>
      <c r="G161" s="7" t="s">
        <v>236</v>
      </c>
      <c r="H161" s="72">
        <v>70</v>
      </c>
      <c r="I161" s="7"/>
      <c r="J161" s="1014" t="str">
        <f t="shared" ref="J161" si="35">IF(D161&lt;H163,F163,IF(D161&lt;H162,F162,IF(D161&gt;=H161,F161)))</f>
        <v>Low</v>
      </c>
      <c r="K161" s="939" t="str">
        <f t="shared" ref="K161" si="36">J161</f>
        <v>Low</v>
      </c>
    </row>
    <row r="162" spans="1:11" x14ac:dyDescent="0.25">
      <c r="A162" s="1033"/>
      <c r="B162" s="1024"/>
      <c r="C162" s="1005"/>
      <c r="D162" s="1005"/>
      <c r="E162" s="1005"/>
      <c r="F162" s="56" t="s">
        <v>12</v>
      </c>
      <c r="G162" s="6" t="s">
        <v>237</v>
      </c>
      <c r="H162" s="66">
        <v>70</v>
      </c>
      <c r="I162" s="6"/>
      <c r="J162" s="1015"/>
      <c r="K162" s="1010"/>
    </row>
    <row r="163" spans="1:11" x14ac:dyDescent="0.25">
      <c r="A163" s="1034"/>
      <c r="B163" s="1025"/>
      <c r="C163" s="1006"/>
      <c r="D163" s="1006"/>
      <c r="E163" s="1006"/>
      <c r="F163" s="86" t="s">
        <v>13</v>
      </c>
      <c r="G163" s="8" t="s">
        <v>238</v>
      </c>
      <c r="H163" s="73">
        <v>35</v>
      </c>
      <c r="I163" s="8"/>
      <c r="J163" s="1016"/>
      <c r="K163" s="944"/>
    </row>
    <row r="164" spans="1:11" x14ac:dyDescent="0.25">
      <c r="A164" s="1032" t="s">
        <v>329</v>
      </c>
      <c r="B164" s="1004" t="s">
        <v>239</v>
      </c>
      <c r="C164" s="1004" t="s">
        <v>70</v>
      </c>
      <c r="D164" s="1038">
        <f>'Secondary data calculation'!C66</f>
        <v>0</v>
      </c>
      <c r="E164" s="1038"/>
      <c r="F164" s="85" t="s">
        <v>11</v>
      </c>
      <c r="G164" s="6" t="s">
        <v>44</v>
      </c>
      <c r="H164" s="66">
        <v>0.4</v>
      </c>
      <c r="I164" s="6"/>
      <c r="J164" s="1014" t="str">
        <f t="shared" ref="J164" si="37">IF(D164&lt;H166,F166,IF(D164&lt;H165,F165,IF(D164&gt;=H164,F164)))</f>
        <v>Low</v>
      </c>
      <c r="K164" s="939" t="str">
        <f t="shared" ref="K164" si="38">J164</f>
        <v>Low</v>
      </c>
    </row>
    <row r="165" spans="1:11" x14ac:dyDescent="0.25">
      <c r="A165" s="1033"/>
      <c r="B165" s="1024"/>
      <c r="C165" s="1005"/>
      <c r="D165" s="1039"/>
      <c r="E165" s="1039"/>
      <c r="F165" s="58" t="s">
        <v>12</v>
      </c>
      <c r="G165" t="s">
        <v>298</v>
      </c>
      <c r="H165" s="66">
        <v>0.4</v>
      </c>
      <c r="J165" s="1015"/>
      <c r="K165" s="1010"/>
    </row>
    <row r="166" spans="1:11" x14ac:dyDescent="0.25">
      <c r="A166" s="1034"/>
      <c r="B166" s="1025"/>
      <c r="C166" s="1006"/>
      <c r="D166" s="1040"/>
      <c r="E166" s="1040"/>
      <c r="F166" s="86" t="s">
        <v>13</v>
      </c>
      <c r="G166" t="s">
        <v>263</v>
      </c>
      <c r="H166" s="61">
        <v>0.2</v>
      </c>
      <c r="J166" s="1016"/>
      <c r="K166" s="944"/>
    </row>
    <row r="167" spans="1:11" x14ac:dyDescent="0.25">
      <c r="A167" s="1032" t="s">
        <v>241</v>
      </c>
      <c r="B167" s="1004" t="s">
        <v>239</v>
      </c>
      <c r="C167" s="1004" t="s">
        <v>70</v>
      </c>
      <c r="D167" s="1038">
        <f>'Secondary data calculation'!C70</f>
        <v>0</v>
      </c>
      <c r="E167" s="1038"/>
      <c r="F167" s="85" t="s">
        <v>11</v>
      </c>
      <c r="G167" s="7" t="s">
        <v>139</v>
      </c>
      <c r="H167" s="72">
        <v>0.5</v>
      </c>
      <c r="I167" s="7"/>
      <c r="J167" s="1014" t="str">
        <f>IF(D167&lt;H169,F169,IF(D167&lt;H168,F168,IF(D167&gt;=H167,F167)))</f>
        <v>Low</v>
      </c>
      <c r="K167" s="939" t="str">
        <f t="shared" ref="K167" si="39">J167</f>
        <v>Low</v>
      </c>
    </row>
    <row r="168" spans="1:11" x14ac:dyDescent="0.25">
      <c r="A168" s="1033"/>
      <c r="B168" s="1024"/>
      <c r="C168" s="1005"/>
      <c r="D168" s="1039"/>
      <c r="E168" s="1039"/>
      <c r="F168" s="56" t="s">
        <v>12</v>
      </c>
      <c r="G168" s="6" t="s">
        <v>242</v>
      </c>
      <c r="H168" s="66">
        <v>0.5</v>
      </c>
      <c r="I168" s="6"/>
      <c r="J168" s="1015"/>
      <c r="K168" s="1010"/>
    </row>
    <row r="169" spans="1:11" x14ac:dyDescent="0.25">
      <c r="A169" s="1034"/>
      <c r="B169" s="1025"/>
      <c r="C169" s="1006"/>
      <c r="D169" s="1040"/>
      <c r="E169" s="1040"/>
      <c r="F169" s="86" t="s">
        <v>13</v>
      </c>
      <c r="G169" s="8" t="s">
        <v>48</v>
      </c>
      <c r="H169" s="73">
        <v>0.1</v>
      </c>
      <c r="I169" s="8"/>
      <c r="J169" s="1016"/>
      <c r="K169" s="944"/>
    </row>
    <row r="170" spans="1:11" x14ac:dyDescent="0.25">
      <c r="A170" s="1032" t="s">
        <v>243</v>
      </c>
      <c r="B170" s="1004" t="s">
        <v>244</v>
      </c>
      <c r="C170" s="1004" t="s">
        <v>245</v>
      </c>
      <c r="D170" s="1004">
        <f>'Secondary data calculation'!C82</f>
        <v>0</v>
      </c>
      <c r="E170" s="1004"/>
      <c r="F170" s="85" t="s">
        <v>11</v>
      </c>
      <c r="G170" s="59" t="s">
        <v>246</v>
      </c>
      <c r="H170" s="61">
        <v>125</v>
      </c>
      <c r="I170" s="59"/>
      <c r="J170" s="1014" t="str">
        <f>IF(D170&lt;=H173,F173,IF(D170&lt;H172,F172,IF(D170&lt;H171,F171,IF(D170&gt;=H170,F170))))</f>
        <v>Very Low</v>
      </c>
      <c r="K170" s="939" t="str">
        <f t="shared" ref="K170" si="40">J170</f>
        <v>Very Low</v>
      </c>
    </row>
    <row r="171" spans="1:11" x14ac:dyDescent="0.25">
      <c r="A171" s="1033"/>
      <c r="B171" s="1024"/>
      <c r="C171" s="1005"/>
      <c r="D171" s="1005"/>
      <c r="E171" s="1005"/>
      <c r="F171" s="56" t="s">
        <v>12</v>
      </c>
      <c r="G171" s="59" t="s">
        <v>528</v>
      </c>
      <c r="H171" s="61">
        <v>125</v>
      </c>
      <c r="I171" s="59"/>
      <c r="J171" s="1015"/>
      <c r="K171" s="1010"/>
    </row>
    <row r="172" spans="1:11" s="59" customFormat="1" x14ac:dyDescent="0.25">
      <c r="A172" s="1033"/>
      <c r="B172" s="1024"/>
      <c r="C172" s="1005"/>
      <c r="D172" s="1005"/>
      <c r="E172" s="1005"/>
      <c r="F172" s="56" t="s">
        <v>13</v>
      </c>
      <c r="G172" s="59" t="s">
        <v>527</v>
      </c>
      <c r="H172" s="61">
        <v>10</v>
      </c>
      <c r="J172" s="1015"/>
      <c r="K172" s="1010"/>
    </row>
    <row r="173" spans="1:11" x14ac:dyDescent="0.25">
      <c r="A173" s="1034"/>
      <c r="B173" s="1025"/>
      <c r="C173" s="1006"/>
      <c r="D173" s="1006"/>
      <c r="E173" s="1006"/>
      <c r="F173" s="86" t="s">
        <v>14</v>
      </c>
      <c r="G173" s="64" t="s">
        <v>247</v>
      </c>
      <c r="H173" s="77">
        <v>1</v>
      </c>
      <c r="I173" s="64"/>
      <c r="J173" s="1016"/>
      <c r="K173" s="944"/>
    </row>
    <row r="174" spans="1:11" x14ac:dyDescent="0.25">
      <c r="A174" s="1032" t="s">
        <v>248</v>
      </c>
      <c r="B174" s="1004" t="s">
        <v>244</v>
      </c>
      <c r="C174" s="1004" t="s">
        <v>249</v>
      </c>
      <c r="D174" s="1004">
        <f>'Secondary data calculation'!C83</f>
        <v>0</v>
      </c>
      <c r="E174" s="1004"/>
      <c r="F174" s="85" t="s">
        <v>11</v>
      </c>
      <c r="G174" s="59" t="s">
        <v>250</v>
      </c>
      <c r="H174" s="61">
        <v>85</v>
      </c>
      <c r="I174" s="59"/>
      <c r="J174" s="1014" t="str">
        <f t="shared" ref="J174" si="41">IF(D174&lt;H176,F176,IF(D174&lt;H175,F175,IF(D174&gt;=H174,F174)))</f>
        <v>Low</v>
      </c>
      <c r="K174" s="939" t="str">
        <f t="shared" ref="K174" si="42">J174</f>
        <v>Low</v>
      </c>
    </row>
    <row r="175" spans="1:11" x14ac:dyDescent="0.25">
      <c r="A175" s="1033"/>
      <c r="B175" s="1024"/>
      <c r="C175" s="1005"/>
      <c r="D175" s="1005"/>
      <c r="E175" s="1005"/>
      <c r="F175" s="56" t="s">
        <v>12</v>
      </c>
      <c r="G175" s="59" t="s">
        <v>251</v>
      </c>
      <c r="H175" s="61">
        <v>85</v>
      </c>
      <c r="I175" s="59"/>
      <c r="J175" s="1015"/>
      <c r="K175" s="1010"/>
    </row>
    <row r="176" spans="1:11" x14ac:dyDescent="0.25">
      <c r="A176" s="1034"/>
      <c r="B176" s="1025"/>
      <c r="C176" s="1006"/>
      <c r="D176" s="1006"/>
      <c r="E176" s="1006"/>
      <c r="F176" s="86" t="s">
        <v>13</v>
      </c>
      <c r="G176" s="59" t="s">
        <v>252</v>
      </c>
      <c r="H176" s="61">
        <v>15</v>
      </c>
      <c r="I176" s="59"/>
      <c r="J176" s="1016"/>
      <c r="K176" s="944"/>
    </row>
    <row r="177" spans="1:11" x14ac:dyDescent="0.25">
      <c r="A177" s="1032" t="s">
        <v>253</v>
      </c>
      <c r="B177" s="1004" t="s">
        <v>244</v>
      </c>
      <c r="C177" s="1004" t="s">
        <v>304</v>
      </c>
      <c r="D177" s="1004">
        <f>'Secondary data calculation'!C87</f>
        <v>0</v>
      </c>
      <c r="E177" s="1004"/>
      <c r="F177" s="85" t="s">
        <v>10</v>
      </c>
      <c r="G177" s="7" t="s">
        <v>254</v>
      </c>
      <c r="H177" s="72">
        <v>5500</v>
      </c>
      <c r="I177" s="7"/>
      <c r="J177" s="1014" t="str">
        <f>IF(D177&lt;H181,F181,IF(D177&lt;H180,F180,IF(D177&lt;H179,F179,IF(D177&lt;H178,F178,IF(D177&gt;=H177,F177)))))</f>
        <v>Very Low</v>
      </c>
      <c r="K177" s="939" t="str">
        <f>J177</f>
        <v>Very Low</v>
      </c>
    </row>
    <row r="178" spans="1:11" x14ac:dyDescent="0.25">
      <c r="A178" s="1033"/>
      <c r="B178" s="1005"/>
      <c r="C178" s="1005"/>
      <c r="D178" s="1005"/>
      <c r="E178" s="1005"/>
      <c r="F178" s="56" t="s">
        <v>11</v>
      </c>
      <c r="G178" s="6" t="s">
        <v>335</v>
      </c>
      <c r="H178" s="66">
        <v>5500</v>
      </c>
      <c r="I178" s="6"/>
      <c r="J178" s="1015"/>
      <c r="K178" s="1010"/>
    </row>
    <row r="179" spans="1:11" x14ac:dyDescent="0.25">
      <c r="A179" s="1033"/>
      <c r="B179" s="1005"/>
      <c r="C179" s="1005"/>
      <c r="D179" s="1005"/>
      <c r="E179" s="1005"/>
      <c r="F179" s="56" t="s">
        <v>12</v>
      </c>
      <c r="G179" s="6" t="s">
        <v>315</v>
      </c>
      <c r="H179" s="66">
        <v>2500</v>
      </c>
      <c r="I179" s="6"/>
      <c r="J179" s="1015"/>
      <c r="K179" s="1010"/>
    </row>
    <row r="180" spans="1:11" x14ac:dyDescent="0.25">
      <c r="A180" s="1033"/>
      <c r="B180" s="1024"/>
      <c r="C180" s="1005"/>
      <c r="D180" s="1005"/>
      <c r="E180" s="1005"/>
      <c r="F180" s="56" t="s">
        <v>13</v>
      </c>
      <c r="G180" s="6" t="s">
        <v>313</v>
      </c>
      <c r="H180" s="66">
        <v>1500</v>
      </c>
      <c r="I180" s="6"/>
      <c r="J180" s="1015"/>
      <c r="K180" s="1010"/>
    </row>
    <row r="181" spans="1:11" x14ac:dyDescent="0.25">
      <c r="A181" s="1034"/>
      <c r="B181" s="1025"/>
      <c r="C181" s="1006"/>
      <c r="D181" s="1006"/>
      <c r="E181" s="1006"/>
      <c r="F181" s="56" t="s">
        <v>14</v>
      </c>
      <c r="G181" s="6" t="s">
        <v>314</v>
      </c>
      <c r="H181" s="66">
        <v>800</v>
      </c>
      <c r="I181" s="6"/>
      <c r="J181" s="1016"/>
      <c r="K181" s="944"/>
    </row>
    <row r="182" spans="1:11" x14ac:dyDescent="0.25">
      <c r="A182" s="1032" t="s">
        <v>255</v>
      </c>
      <c r="B182" s="1004" t="s">
        <v>244</v>
      </c>
      <c r="C182" s="1004" t="s">
        <v>308</v>
      </c>
      <c r="D182" s="1004">
        <f>'Secondary data calculation'!C88</f>
        <v>0</v>
      </c>
      <c r="E182" s="1004"/>
      <c r="F182" s="85" t="s">
        <v>10</v>
      </c>
      <c r="G182" s="7" t="s">
        <v>256</v>
      </c>
      <c r="H182" s="72">
        <v>110</v>
      </c>
      <c r="I182" s="7"/>
      <c r="J182" s="1014" t="str">
        <f>IF(D182&lt;H186,F186,IF(D182&lt;H185,F185,IF(D182&lt;H184,F184,IF(D182&lt;H183,F183,IF(D182&gt;=H182,F182)))))</f>
        <v>Very Low</v>
      </c>
      <c r="K182" s="939" t="str">
        <f>J182</f>
        <v>Very Low</v>
      </c>
    </row>
    <row r="183" spans="1:11" x14ac:dyDescent="0.25">
      <c r="A183" s="1033"/>
      <c r="B183" s="1024"/>
      <c r="C183" s="1005"/>
      <c r="D183" s="1005"/>
      <c r="E183" s="1005"/>
      <c r="F183" s="56" t="s">
        <v>11</v>
      </c>
      <c r="G183" s="6" t="s">
        <v>257</v>
      </c>
      <c r="H183" s="66">
        <v>110</v>
      </c>
      <c r="I183" s="6"/>
      <c r="J183" s="1015"/>
      <c r="K183" s="1010"/>
    </row>
    <row r="184" spans="1:11" x14ac:dyDescent="0.25">
      <c r="A184" s="1033"/>
      <c r="B184" s="1024"/>
      <c r="C184" s="1005"/>
      <c r="D184" s="1005"/>
      <c r="E184" s="1005"/>
      <c r="F184" s="56" t="s">
        <v>12</v>
      </c>
      <c r="G184" s="6" t="s">
        <v>258</v>
      </c>
      <c r="H184" s="66">
        <v>70</v>
      </c>
      <c r="I184" s="6"/>
      <c r="J184" s="1015"/>
      <c r="K184" s="1010"/>
    </row>
    <row r="185" spans="1:11" x14ac:dyDescent="0.25">
      <c r="A185" s="1033"/>
      <c r="B185" s="1024"/>
      <c r="C185" s="1005"/>
      <c r="D185" s="1005"/>
      <c r="E185" s="1005"/>
      <c r="F185" s="56" t="s">
        <v>13</v>
      </c>
      <c r="G185" s="6" t="s">
        <v>259</v>
      </c>
      <c r="H185" s="66">
        <v>45</v>
      </c>
      <c r="I185" s="6"/>
      <c r="J185" s="1015"/>
      <c r="K185" s="1010"/>
    </row>
    <row r="186" spans="1:11" x14ac:dyDescent="0.25">
      <c r="A186" s="1034"/>
      <c r="B186" s="1025"/>
      <c r="C186" s="1006"/>
      <c r="D186" s="1006"/>
      <c r="E186" s="1006"/>
      <c r="F186" s="86" t="s">
        <v>14</v>
      </c>
      <c r="G186" s="8" t="s">
        <v>260</v>
      </c>
      <c r="H186" s="73">
        <v>30</v>
      </c>
      <c r="I186" s="8"/>
      <c r="J186" s="1016"/>
      <c r="K186" s="944"/>
    </row>
    <row r="187" spans="1:11" x14ac:dyDescent="0.25">
      <c r="A187" s="1032" t="s">
        <v>330</v>
      </c>
      <c r="B187" s="1004" t="s">
        <v>261</v>
      </c>
      <c r="C187" s="1004" t="s">
        <v>70</v>
      </c>
      <c r="D187" s="1060" t="e">
        <f>'Secondary data calculation'!C71</f>
        <v>#DIV/0!</v>
      </c>
      <c r="E187" s="1060"/>
      <c r="F187" s="85" t="s">
        <v>11</v>
      </c>
      <c r="G187" s="7" t="s">
        <v>139</v>
      </c>
      <c r="H187" s="72">
        <v>0.5</v>
      </c>
      <c r="I187" s="59"/>
      <c r="J187" s="1014" t="e">
        <f>IF(D187&lt;H189,F189,IF(D187&lt;H188,F188,IF(D187&gt;=H187,F187)))</f>
        <v>#DIV/0!</v>
      </c>
      <c r="K187" s="939" t="e">
        <f>J187</f>
        <v>#DIV/0!</v>
      </c>
    </row>
    <row r="188" spans="1:11" x14ac:dyDescent="0.25">
      <c r="A188" s="1033"/>
      <c r="B188" s="1024"/>
      <c r="C188" s="1005"/>
      <c r="D188" s="1061"/>
      <c r="E188" s="1061"/>
      <c r="F188" s="56" t="s">
        <v>12</v>
      </c>
      <c r="G188" s="6" t="s">
        <v>1055</v>
      </c>
      <c r="H188" s="66">
        <v>0.5</v>
      </c>
      <c r="I188" s="59"/>
      <c r="J188" s="1015"/>
      <c r="K188" s="1010"/>
    </row>
    <row r="189" spans="1:11" x14ac:dyDescent="0.25">
      <c r="A189" s="1034"/>
      <c r="B189" s="1025"/>
      <c r="C189" s="1006"/>
      <c r="D189" s="1062"/>
      <c r="E189" s="1062"/>
      <c r="F189" s="86" t="s">
        <v>13</v>
      </c>
      <c r="G189" s="6" t="s">
        <v>263</v>
      </c>
      <c r="H189" s="66">
        <v>0.2</v>
      </c>
      <c r="I189" s="59"/>
      <c r="J189" s="1016"/>
      <c r="K189" s="944"/>
    </row>
    <row r="190" spans="1:11" x14ac:dyDescent="0.25">
      <c r="A190" s="1032" t="s">
        <v>331</v>
      </c>
      <c r="B190" s="1004" t="s">
        <v>261</v>
      </c>
      <c r="C190" s="1004" t="s">
        <v>70</v>
      </c>
      <c r="D190" s="1038">
        <f>'Secondary data calculation'!C72</f>
        <v>0.18</v>
      </c>
      <c r="E190" s="1038"/>
      <c r="F190" s="85" t="s">
        <v>11</v>
      </c>
      <c r="G190" s="7" t="s">
        <v>175</v>
      </c>
      <c r="H190" s="72">
        <v>0.3</v>
      </c>
      <c r="I190" s="62"/>
      <c r="J190" s="1014" t="str">
        <f t="shared" ref="J190" si="43">IF(D190&lt;H192,F192,IF(D190&lt;H191,F191,IF(D190&gt;=H190,F190)))</f>
        <v>Medium</v>
      </c>
      <c r="K190" s="939" t="str">
        <f t="shared" ref="K190" si="44">J190</f>
        <v>Medium</v>
      </c>
    </row>
    <row r="191" spans="1:11" x14ac:dyDescent="0.25">
      <c r="A191" s="1033"/>
      <c r="B191" s="1024"/>
      <c r="C191" s="1005"/>
      <c r="D191" s="1039"/>
      <c r="E191" s="1039"/>
      <c r="F191" s="58" t="s">
        <v>12</v>
      </c>
      <c r="G191" s="6" t="s">
        <v>176</v>
      </c>
      <c r="H191" s="66">
        <v>0.3</v>
      </c>
      <c r="I191" s="59"/>
      <c r="J191" s="1015"/>
      <c r="K191" s="1010"/>
    </row>
    <row r="192" spans="1:11" x14ac:dyDescent="0.25">
      <c r="A192" s="1034"/>
      <c r="B192" s="1025"/>
      <c r="C192" s="1006"/>
      <c r="D192" s="1040"/>
      <c r="E192" s="1040"/>
      <c r="F192" s="86" t="s">
        <v>13</v>
      </c>
      <c r="G192" s="6" t="s">
        <v>48</v>
      </c>
      <c r="H192" s="66">
        <v>0.1</v>
      </c>
      <c r="I192" s="59"/>
      <c r="J192" s="1016"/>
      <c r="K192" s="944"/>
    </row>
    <row r="193" spans="1:11" x14ac:dyDescent="0.25">
      <c r="A193" s="1032" t="s">
        <v>262</v>
      </c>
      <c r="B193" s="1004" t="s">
        <v>244</v>
      </c>
      <c r="C193" s="1004" t="s">
        <v>70</v>
      </c>
      <c r="D193" s="1038">
        <f>'Secondary data calculation'!C73</f>
        <v>0</v>
      </c>
      <c r="E193" s="1038"/>
      <c r="F193" s="85" t="s">
        <v>11</v>
      </c>
      <c r="G193" s="7" t="s">
        <v>139</v>
      </c>
      <c r="H193" s="72">
        <v>0.5</v>
      </c>
      <c r="I193" s="7"/>
      <c r="J193" s="1014" t="str">
        <f t="shared" ref="J193" si="45">IF(D193&lt;H195,F195,IF(D193&lt;H194,F194,IF(D193&gt;=H193,F193)))</f>
        <v>Low</v>
      </c>
      <c r="K193" s="939" t="str">
        <f t="shared" ref="K193" si="46">J193</f>
        <v>Low</v>
      </c>
    </row>
    <row r="194" spans="1:11" x14ac:dyDescent="0.25">
      <c r="A194" s="1033"/>
      <c r="B194" s="1024"/>
      <c r="C194" s="1005"/>
      <c r="D194" s="1039"/>
      <c r="E194" s="1039"/>
      <c r="F194" s="58" t="s">
        <v>12</v>
      </c>
      <c r="G194" s="6" t="s">
        <v>299</v>
      </c>
      <c r="H194" s="66">
        <v>0.5</v>
      </c>
      <c r="I194" s="6"/>
      <c r="J194" s="1015"/>
      <c r="K194" s="1010"/>
    </row>
    <row r="195" spans="1:11" x14ac:dyDescent="0.25">
      <c r="A195" s="1034"/>
      <c r="B195" s="1025"/>
      <c r="C195" s="1006"/>
      <c r="D195" s="1040"/>
      <c r="E195" s="1040"/>
      <c r="F195" s="86" t="s">
        <v>13</v>
      </c>
      <c r="G195" s="8" t="s">
        <v>263</v>
      </c>
      <c r="H195" s="73">
        <v>0.2</v>
      </c>
      <c r="I195" s="8"/>
      <c r="J195" s="1016"/>
      <c r="K195" s="944"/>
    </row>
    <row r="196" spans="1:11" x14ac:dyDescent="0.25">
      <c r="A196" s="1032" t="s">
        <v>264</v>
      </c>
      <c r="B196" s="1004" t="s">
        <v>265</v>
      </c>
      <c r="C196" s="1004" t="s">
        <v>70</v>
      </c>
      <c r="D196" s="1038" t="e">
        <f>'Secondary data calculation'!C78</f>
        <v>#DIV/0!</v>
      </c>
      <c r="E196" s="1038"/>
      <c r="F196" s="85" t="s">
        <v>11</v>
      </c>
      <c r="G196" s="7" t="s">
        <v>175</v>
      </c>
      <c r="H196" s="72">
        <v>0.3</v>
      </c>
      <c r="I196" s="7"/>
      <c r="J196" s="1014" t="e">
        <f t="shared" ref="J196" si="47">IF(D196&lt;H198,F198,IF(D196&lt;H197,F197,IF(D196&gt;=H196,F196)))</f>
        <v>#DIV/0!</v>
      </c>
      <c r="K196" s="939" t="e">
        <f t="shared" ref="K196" si="48">J196</f>
        <v>#DIV/0!</v>
      </c>
    </row>
    <row r="197" spans="1:11" x14ac:dyDescent="0.25">
      <c r="A197" s="1033"/>
      <c r="B197" s="1024"/>
      <c r="C197" s="1005"/>
      <c r="D197" s="1039"/>
      <c r="E197" s="1039"/>
      <c r="F197" s="58" t="s">
        <v>12</v>
      </c>
      <c r="G197" s="6" t="s">
        <v>266</v>
      </c>
      <c r="H197" s="66">
        <v>0.3</v>
      </c>
      <c r="I197" s="6"/>
      <c r="J197" s="1015"/>
      <c r="K197" s="1010"/>
    </row>
    <row r="198" spans="1:11" x14ac:dyDescent="0.25">
      <c r="A198" s="1034"/>
      <c r="B198" s="1025"/>
      <c r="C198" s="1006"/>
      <c r="D198" s="1040"/>
      <c r="E198" s="1040"/>
      <c r="F198" s="86" t="s">
        <v>13</v>
      </c>
      <c r="G198" s="8" t="s">
        <v>267</v>
      </c>
      <c r="H198" s="73">
        <v>0.15</v>
      </c>
      <c r="I198" s="8"/>
      <c r="J198" s="1016"/>
      <c r="K198" s="944"/>
    </row>
    <row r="199" spans="1:11" x14ac:dyDescent="0.25">
      <c r="A199" s="1032" t="s">
        <v>269</v>
      </c>
      <c r="B199" s="1004" t="s">
        <v>270</v>
      </c>
      <c r="C199" s="1004" t="s">
        <v>167</v>
      </c>
      <c r="D199" s="1004">
        <f>'Secondary data calculation'!C96</f>
        <v>0</v>
      </c>
      <c r="E199" s="1004"/>
      <c r="F199" s="85" t="s">
        <v>333</v>
      </c>
      <c r="G199" s="7" t="s">
        <v>377</v>
      </c>
      <c r="H199" s="66" t="s">
        <v>353</v>
      </c>
      <c r="I199" s="6"/>
      <c r="J199" s="1014" t="b">
        <f>IF(D199=H199,F199,IF(D199=H200,F200))</f>
        <v>0</v>
      </c>
      <c r="K199" s="1014" t="b">
        <f>J199</f>
        <v>0</v>
      </c>
    </row>
    <row r="200" spans="1:11" x14ac:dyDescent="0.25">
      <c r="A200" s="1034"/>
      <c r="B200" s="1025"/>
      <c r="C200" s="1006"/>
      <c r="D200" s="1006"/>
      <c r="E200" s="1006"/>
      <c r="F200" s="58" t="s">
        <v>332</v>
      </c>
      <c r="G200" s="8" t="s">
        <v>378</v>
      </c>
      <c r="H200" s="66" t="s">
        <v>361</v>
      </c>
      <c r="I200" s="6"/>
      <c r="J200" s="1016"/>
      <c r="K200" s="1016"/>
    </row>
    <row r="201" spans="1:11" x14ac:dyDescent="0.25">
      <c r="A201" s="1032" t="s">
        <v>279</v>
      </c>
      <c r="B201" s="1004" t="s">
        <v>272</v>
      </c>
      <c r="C201" s="1004" t="s">
        <v>69</v>
      </c>
      <c r="D201" s="1004">
        <f>'Secondary data calculation'!C12</f>
        <v>0</v>
      </c>
      <c r="E201" s="1004"/>
      <c r="F201" s="85" t="s">
        <v>11</v>
      </c>
      <c r="G201" s="7" t="s">
        <v>274</v>
      </c>
      <c r="H201" s="72">
        <v>3</v>
      </c>
      <c r="I201" s="7"/>
      <c r="J201" s="1014" t="str">
        <f>IF(D201&lt;H203,F203,IF(D201&lt;H202,F202,IF(D201&gt;=H201,F201)))</f>
        <v>Low</v>
      </c>
      <c r="K201" s="939" t="str">
        <f>J201</f>
        <v>Low</v>
      </c>
    </row>
    <row r="202" spans="1:11" x14ac:dyDescent="0.25">
      <c r="A202" s="1033"/>
      <c r="B202" s="1024"/>
      <c r="C202" s="1005"/>
      <c r="D202" s="1005"/>
      <c r="E202" s="1005"/>
      <c r="F202" s="58" t="s">
        <v>12</v>
      </c>
      <c r="G202" s="6" t="s">
        <v>275</v>
      </c>
      <c r="H202" s="66">
        <v>3</v>
      </c>
      <c r="I202" s="6"/>
      <c r="J202" s="1015"/>
      <c r="K202" s="1010"/>
    </row>
    <row r="203" spans="1:11" x14ac:dyDescent="0.25">
      <c r="A203" s="1034"/>
      <c r="B203" s="1025"/>
      <c r="C203" s="1006"/>
      <c r="D203" s="1006"/>
      <c r="E203" s="1006"/>
      <c r="F203" s="86" t="s">
        <v>13</v>
      </c>
      <c r="G203" s="8" t="s">
        <v>276</v>
      </c>
      <c r="H203" s="73">
        <v>2</v>
      </c>
      <c r="I203" s="8"/>
      <c r="J203" s="1016"/>
      <c r="K203" s="944"/>
    </row>
    <row r="204" spans="1:11" x14ac:dyDescent="0.25">
      <c r="A204" s="1032" t="s">
        <v>277</v>
      </c>
      <c r="B204" s="1004" t="s">
        <v>278</v>
      </c>
      <c r="C204" s="1004" t="s">
        <v>70</v>
      </c>
      <c r="D204" s="1038">
        <f>'Secondary data calculation'!C79</f>
        <v>0</v>
      </c>
      <c r="E204" s="1038"/>
      <c r="F204" s="7" t="s">
        <v>11</v>
      </c>
      <c r="G204" s="7" t="s">
        <v>281</v>
      </c>
      <c r="H204" s="72">
        <v>0.04</v>
      </c>
      <c r="I204" s="7"/>
      <c r="J204" s="1014" t="str">
        <f>IF(D204&lt;H206,F206,IF(D204&lt;H205,F205,IF(D204&gt;=H204,F204)))</f>
        <v>Low</v>
      </c>
      <c r="K204" s="939" t="str">
        <f>J204</f>
        <v>Low</v>
      </c>
    </row>
    <row r="205" spans="1:11" x14ac:dyDescent="0.25">
      <c r="A205" s="1033"/>
      <c r="B205" s="1024"/>
      <c r="C205" s="1005"/>
      <c r="D205" s="1039"/>
      <c r="E205" s="1039"/>
      <c r="F205" s="6" t="s">
        <v>12</v>
      </c>
      <c r="G205" s="6" t="s">
        <v>282</v>
      </c>
      <c r="H205" s="66">
        <v>0.04</v>
      </c>
      <c r="I205" s="6"/>
      <c r="J205" s="1015"/>
      <c r="K205" s="1010"/>
    </row>
    <row r="206" spans="1:11" x14ac:dyDescent="0.25">
      <c r="A206" s="1034"/>
      <c r="B206" s="1025"/>
      <c r="C206" s="1006"/>
      <c r="D206" s="1040"/>
      <c r="E206" s="1040"/>
      <c r="F206" s="8" t="s">
        <v>13</v>
      </c>
      <c r="G206" s="8" t="s">
        <v>283</v>
      </c>
      <c r="H206" s="73">
        <v>5.0000000000000001E-3</v>
      </c>
      <c r="I206" s="8"/>
      <c r="J206" s="1016"/>
      <c r="K206" s="944"/>
    </row>
  </sheetData>
  <mergeCells count="343">
    <mergeCell ref="A204:A206"/>
    <mergeCell ref="B204:B206"/>
    <mergeCell ref="C204:C206"/>
    <mergeCell ref="D204:E206"/>
    <mergeCell ref="K204:K206"/>
    <mergeCell ref="J204:J206"/>
    <mergeCell ref="A201:A203"/>
    <mergeCell ref="B201:B203"/>
    <mergeCell ref="C201:C203"/>
    <mergeCell ref="D201:E203"/>
    <mergeCell ref="K201:K203"/>
    <mergeCell ref="J201:J203"/>
    <mergeCell ref="J199:J200"/>
    <mergeCell ref="A196:A198"/>
    <mergeCell ref="B196:B198"/>
    <mergeCell ref="C196:C198"/>
    <mergeCell ref="D196:E198"/>
    <mergeCell ref="K196:K198"/>
    <mergeCell ref="J196:J198"/>
    <mergeCell ref="A193:A195"/>
    <mergeCell ref="B193:B195"/>
    <mergeCell ref="C193:C195"/>
    <mergeCell ref="D193:E195"/>
    <mergeCell ref="K193:K195"/>
    <mergeCell ref="J193:J195"/>
    <mergeCell ref="A199:A200"/>
    <mergeCell ref="B199:B200"/>
    <mergeCell ref="C199:C200"/>
    <mergeCell ref="D199:E200"/>
    <mergeCell ref="K199:K200"/>
    <mergeCell ref="A190:A192"/>
    <mergeCell ref="B190:B192"/>
    <mergeCell ref="C190:C192"/>
    <mergeCell ref="D190:E192"/>
    <mergeCell ref="K190:K192"/>
    <mergeCell ref="J190:J192"/>
    <mergeCell ref="A187:A189"/>
    <mergeCell ref="B187:B189"/>
    <mergeCell ref="C187:C189"/>
    <mergeCell ref="D187:E189"/>
    <mergeCell ref="K187:K189"/>
    <mergeCell ref="J187:J189"/>
    <mergeCell ref="A182:A186"/>
    <mergeCell ref="B182:B186"/>
    <mergeCell ref="C182:C186"/>
    <mergeCell ref="D182:E186"/>
    <mergeCell ref="K182:K186"/>
    <mergeCell ref="J182:J186"/>
    <mergeCell ref="A177:A181"/>
    <mergeCell ref="B177:B181"/>
    <mergeCell ref="C177:C181"/>
    <mergeCell ref="D177:E181"/>
    <mergeCell ref="K177:K181"/>
    <mergeCell ref="J177:J181"/>
    <mergeCell ref="A174:A176"/>
    <mergeCell ref="B174:B176"/>
    <mergeCell ref="C174:C176"/>
    <mergeCell ref="D174:E176"/>
    <mergeCell ref="K174:K176"/>
    <mergeCell ref="J174:J176"/>
    <mergeCell ref="A170:A173"/>
    <mergeCell ref="B170:B173"/>
    <mergeCell ref="C170:C173"/>
    <mergeCell ref="D170:E173"/>
    <mergeCell ref="K170:K173"/>
    <mergeCell ref="J170:J173"/>
    <mergeCell ref="A167:A169"/>
    <mergeCell ref="B167:B169"/>
    <mergeCell ref="C167:C169"/>
    <mergeCell ref="D167:E169"/>
    <mergeCell ref="K167:K169"/>
    <mergeCell ref="J167:J169"/>
    <mergeCell ref="A164:A166"/>
    <mergeCell ref="B164:B166"/>
    <mergeCell ref="C164:C166"/>
    <mergeCell ref="D164:E166"/>
    <mergeCell ref="K164:K166"/>
    <mergeCell ref="J164:J166"/>
    <mergeCell ref="A161:A163"/>
    <mergeCell ref="B161:B163"/>
    <mergeCell ref="C161:C163"/>
    <mergeCell ref="D161:E163"/>
    <mergeCell ref="K161:K163"/>
    <mergeCell ref="J161:J163"/>
    <mergeCell ref="A158:A160"/>
    <mergeCell ref="B158:B160"/>
    <mergeCell ref="C158:C160"/>
    <mergeCell ref="D158:E160"/>
    <mergeCell ref="K158:K160"/>
    <mergeCell ref="J158:J160"/>
    <mergeCell ref="A153:A157"/>
    <mergeCell ref="B153:B157"/>
    <mergeCell ref="C153:C157"/>
    <mergeCell ref="D153:E157"/>
    <mergeCell ref="K153:K157"/>
    <mergeCell ref="J153:J157"/>
    <mergeCell ref="A150:A152"/>
    <mergeCell ref="B150:B152"/>
    <mergeCell ref="C150:C152"/>
    <mergeCell ref="D150:E152"/>
    <mergeCell ref="K150:K152"/>
    <mergeCell ref="J150:J152"/>
    <mergeCell ref="A147:A149"/>
    <mergeCell ref="B147:B149"/>
    <mergeCell ref="C147:C149"/>
    <mergeCell ref="D147:E149"/>
    <mergeCell ref="K147:K149"/>
    <mergeCell ref="J147:J149"/>
    <mergeCell ref="A144:A146"/>
    <mergeCell ref="B144:B146"/>
    <mergeCell ref="C144:C146"/>
    <mergeCell ref="D144:E146"/>
    <mergeCell ref="K144:K146"/>
    <mergeCell ref="J144:J146"/>
    <mergeCell ref="A141:A143"/>
    <mergeCell ref="B141:B143"/>
    <mergeCell ref="C141:C143"/>
    <mergeCell ref="D141:E143"/>
    <mergeCell ref="K141:K143"/>
    <mergeCell ref="J141:J143"/>
    <mergeCell ref="A138:A140"/>
    <mergeCell ref="B138:B140"/>
    <mergeCell ref="C138:C140"/>
    <mergeCell ref="D138:E140"/>
    <mergeCell ref="K138:K140"/>
    <mergeCell ref="J138:J140"/>
    <mergeCell ref="J130:J134"/>
    <mergeCell ref="A135:A137"/>
    <mergeCell ref="B135:B137"/>
    <mergeCell ref="C135:C137"/>
    <mergeCell ref="D135:E137"/>
    <mergeCell ref="K135:K137"/>
    <mergeCell ref="J135:J137"/>
    <mergeCell ref="A130:A134"/>
    <mergeCell ref="B130:B134"/>
    <mergeCell ref="C130:C134"/>
    <mergeCell ref="K130:K134"/>
    <mergeCell ref="D130:E134"/>
    <mergeCell ref="A125:A129"/>
    <mergeCell ref="B125:B129"/>
    <mergeCell ref="C125:C129"/>
    <mergeCell ref="K125:K129"/>
    <mergeCell ref="J125:J129"/>
    <mergeCell ref="A120:A124"/>
    <mergeCell ref="B120:B124"/>
    <mergeCell ref="C120:C124"/>
    <mergeCell ref="D120:E124"/>
    <mergeCell ref="K120:K124"/>
    <mergeCell ref="J120:J124"/>
    <mergeCell ref="D125:E129"/>
    <mergeCell ref="A117:A119"/>
    <mergeCell ref="B117:B119"/>
    <mergeCell ref="C117:C119"/>
    <mergeCell ref="D117:E119"/>
    <mergeCell ref="K117:K119"/>
    <mergeCell ref="J117:J119"/>
    <mergeCell ref="A114:A116"/>
    <mergeCell ref="B114:B116"/>
    <mergeCell ref="C114:C116"/>
    <mergeCell ref="D114:E116"/>
    <mergeCell ref="K114:K116"/>
    <mergeCell ref="J114:J116"/>
    <mergeCell ref="A112:A113"/>
    <mergeCell ref="B112:B113"/>
    <mergeCell ref="C112:C113"/>
    <mergeCell ref="D112:E113"/>
    <mergeCell ref="K112:K113"/>
    <mergeCell ref="J112:J113"/>
    <mergeCell ref="A109:A111"/>
    <mergeCell ref="B109:B111"/>
    <mergeCell ref="C109:C111"/>
    <mergeCell ref="D109:E111"/>
    <mergeCell ref="K109:K111"/>
    <mergeCell ref="J109:J111"/>
    <mergeCell ref="A106:A108"/>
    <mergeCell ref="B106:B108"/>
    <mergeCell ref="C106:C108"/>
    <mergeCell ref="D106:E108"/>
    <mergeCell ref="K106:K108"/>
    <mergeCell ref="J106:J108"/>
    <mergeCell ref="A103:A105"/>
    <mergeCell ref="B103:B105"/>
    <mergeCell ref="C103:C105"/>
    <mergeCell ref="D103:E105"/>
    <mergeCell ref="K103:K105"/>
    <mergeCell ref="J103:J105"/>
    <mergeCell ref="A100:A102"/>
    <mergeCell ref="B100:B102"/>
    <mergeCell ref="C100:C102"/>
    <mergeCell ref="D100:E102"/>
    <mergeCell ref="K100:K102"/>
    <mergeCell ref="J100:J102"/>
    <mergeCell ref="A97:A99"/>
    <mergeCell ref="B97:B99"/>
    <mergeCell ref="C97:C99"/>
    <mergeCell ref="D97:E99"/>
    <mergeCell ref="K97:K99"/>
    <mergeCell ref="J97:J99"/>
    <mergeCell ref="A94:A96"/>
    <mergeCell ref="B94:B96"/>
    <mergeCell ref="C94:C96"/>
    <mergeCell ref="D94:E96"/>
    <mergeCell ref="K94:K96"/>
    <mergeCell ref="J94:J96"/>
    <mergeCell ref="A91:A93"/>
    <mergeCell ref="B91:B93"/>
    <mergeCell ref="C91:C93"/>
    <mergeCell ref="D91:E93"/>
    <mergeCell ref="K91:K93"/>
    <mergeCell ref="J91:J93"/>
    <mergeCell ref="A88:A90"/>
    <mergeCell ref="B88:B90"/>
    <mergeCell ref="C88:C90"/>
    <mergeCell ref="D88:E90"/>
    <mergeCell ref="K88:K90"/>
    <mergeCell ref="J88:J90"/>
    <mergeCell ref="A85:A87"/>
    <mergeCell ref="B85:B87"/>
    <mergeCell ref="C85:C87"/>
    <mergeCell ref="D85:E87"/>
    <mergeCell ref="K85:K87"/>
    <mergeCell ref="J85:J87"/>
    <mergeCell ref="A80:A84"/>
    <mergeCell ref="B80:B84"/>
    <mergeCell ref="C80:C84"/>
    <mergeCell ref="D80:E84"/>
    <mergeCell ref="K80:K84"/>
    <mergeCell ref="J80:J84"/>
    <mergeCell ref="A77:A79"/>
    <mergeCell ref="B77:B79"/>
    <mergeCell ref="C77:C79"/>
    <mergeCell ref="D77:E79"/>
    <mergeCell ref="K77:K79"/>
    <mergeCell ref="J77:J79"/>
    <mergeCell ref="J71:J73"/>
    <mergeCell ref="A74:A76"/>
    <mergeCell ref="B74:B76"/>
    <mergeCell ref="C74:C76"/>
    <mergeCell ref="D74:E76"/>
    <mergeCell ref="K74:K76"/>
    <mergeCell ref="J74:J76"/>
    <mergeCell ref="A71:A73"/>
    <mergeCell ref="B71:B73"/>
    <mergeCell ref="C71:C73"/>
    <mergeCell ref="K71:K73"/>
    <mergeCell ref="D71:E73"/>
    <mergeCell ref="A66:A70"/>
    <mergeCell ref="B66:B70"/>
    <mergeCell ref="C66:C70"/>
    <mergeCell ref="D66:E70"/>
    <mergeCell ref="K66:K70"/>
    <mergeCell ref="J66:J70"/>
    <mergeCell ref="A63:A65"/>
    <mergeCell ref="B63:B65"/>
    <mergeCell ref="C63:C65"/>
    <mergeCell ref="D63:E65"/>
    <mergeCell ref="K63:K65"/>
    <mergeCell ref="J63:J65"/>
    <mergeCell ref="A60:A62"/>
    <mergeCell ref="B60:B62"/>
    <mergeCell ref="C60:C62"/>
    <mergeCell ref="D60:E62"/>
    <mergeCell ref="K60:K62"/>
    <mergeCell ref="J60:J62"/>
    <mergeCell ref="A57:A59"/>
    <mergeCell ref="B57:B59"/>
    <mergeCell ref="C57:C59"/>
    <mergeCell ref="D57:E59"/>
    <mergeCell ref="K57:K59"/>
    <mergeCell ref="J57:J59"/>
    <mergeCell ref="A54:A56"/>
    <mergeCell ref="B54:B56"/>
    <mergeCell ref="C54:C56"/>
    <mergeCell ref="D54:E56"/>
    <mergeCell ref="K54:K56"/>
    <mergeCell ref="J54:J56"/>
    <mergeCell ref="A51:A53"/>
    <mergeCell ref="B51:B53"/>
    <mergeCell ref="C51:C53"/>
    <mergeCell ref="D51:E53"/>
    <mergeCell ref="K51:K53"/>
    <mergeCell ref="J51:J53"/>
    <mergeCell ref="A48:A50"/>
    <mergeCell ref="B48:B50"/>
    <mergeCell ref="C48:C50"/>
    <mergeCell ref="D48:E50"/>
    <mergeCell ref="K48:K50"/>
    <mergeCell ref="J48:J50"/>
    <mergeCell ref="A43:A47"/>
    <mergeCell ref="B43:B47"/>
    <mergeCell ref="C43:C47"/>
    <mergeCell ref="D43:E47"/>
    <mergeCell ref="K43:K47"/>
    <mergeCell ref="J43:J47"/>
    <mergeCell ref="A38:A42"/>
    <mergeCell ref="B38:B42"/>
    <mergeCell ref="C38:C42"/>
    <mergeCell ref="D38:E42"/>
    <mergeCell ref="K38:K42"/>
    <mergeCell ref="J38:J42"/>
    <mergeCell ref="A33:A37"/>
    <mergeCell ref="B33:B37"/>
    <mergeCell ref="C33:C37"/>
    <mergeCell ref="D33:E37"/>
    <mergeCell ref="K33:K37"/>
    <mergeCell ref="J33:J37"/>
    <mergeCell ref="A28:A32"/>
    <mergeCell ref="B28:B32"/>
    <mergeCell ref="C28:C32"/>
    <mergeCell ref="K28:K32"/>
    <mergeCell ref="J28:J32"/>
    <mergeCell ref="A23:A27"/>
    <mergeCell ref="B23:B27"/>
    <mergeCell ref="C23:C27"/>
    <mergeCell ref="D23:E27"/>
    <mergeCell ref="K23:K27"/>
    <mergeCell ref="J23:J27"/>
    <mergeCell ref="D28:E32"/>
    <mergeCell ref="A18:A22"/>
    <mergeCell ref="B18:B22"/>
    <mergeCell ref="C18:C22"/>
    <mergeCell ref="D18:E22"/>
    <mergeCell ref="K18:K22"/>
    <mergeCell ref="J18:J22"/>
    <mergeCell ref="A13:A17"/>
    <mergeCell ref="B13:B17"/>
    <mergeCell ref="C13:C17"/>
    <mergeCell ref="D13:E17"/>
    <mergeCell ref="K13:K17"/>
    <mergeCell ref="J13:J17"/>
    <mergeCell ref="D1:E1"/>
    <mergeCell ref="A3:A7"/>
    <mergeCell ref="B3:B7"/>
    <mergeCell ref="C3:C7"/>
    <mergeCell ref="D3:E7"/>
    <mergeCell ref="K3:K7"/>
    <mergeCell ref="J3:J7"/>
    <mergeCell ref="A8:A12"/>
    <mergeCell ref="B8:B12"/>
    <mergeCell ref="C8:C12"/>
    <mergeCell ref="D8:E12"/>
    <mergeCell ref="K8:K12"/>
    <mergeCell ref="J8:J12"/>
  </mergeCells>
  <dataValidations count="57">
    <dataValidation type="list" allowBlank="1" showInputMessage="1" showErrorMessage="1" sqref="K112:K113" xr:uid="{E4303823-1B50-45A6-9ACE-DE2607CA1933}">
      <formula1>$F$112:$F$113</formula1>
    </dataValidation>
    <dataValidation type="list" allowBlank="1" showInputMessage="1" showErrorMessage="1" sqref="K106:K108" xr:uid="{7244EBE0-6C29-4E07-B56C-F19CB15D0DB3}">
      <formula1>$F$106:$F$108</formula1>
    </dataValidation>
    <dataValidation type="list" allowBlank="1" showInputMessage="1" showErrorMessage="1" sqref="K199:K200" xr:uid="{4AA0BB51-E900-4434-A085-EB7C57B81BE7}">
      <formula1>$F$199:$F$200</formula1>
    </dataValidation>
    <dataValidation type="list" allowBlank="1" showInputMessage="1" showErrorMessage="1" sqref="K3:K7" xr:uid="{CB6EA771-AC2D-467A-9E28-E1E7A30A6C85}">
      <formula1>$F$3:$F$7</formula1>
    </dataValidation>
    <dataValidation type="list" allowBlank="1" showInputMessage="1" showErrorMessage="1" sqref="K120:K124" xr:uid="{D5C3A0EC-7FFE-41AE-BCAF-0C46FA4564CA}">
      <formula1>$F$120:$F$124</formula1>
    </dataValidation>
    <dataValidation type="list" allowBlank="1" showInputMessage="1" showErrorMessage="1" sqref="K182:K186" xr:uid="{4EFD245B-8611-4D74-B68E-AD9AA722D628}">
      <formula1>$F$182:$F$186</formula1>
    </dataValidation>
    <dataValidation type="list" allowBlank="1" showInputMessage="1" showErrorMessage="1" sqref="K153:K157" xr:uid="{ED67C4C5-7161-41F9-BA13-98035BFEF118}">
      <formula1>$F$153:$F$157</formula1>
    </dataValidation>
    <dataValidation type="list" allowBlank="1" showInputMessage="1" showErrorMessage="1" sqref="K204:K206" xr:uid="{D12E89A8-FB60-4F4F-A42E-862A356C3D07}">
      <formula1>$F$204:$F$206</formula1>
    </dataValidation>
    <dataValidation type="list" allowBlank="1" showInputMessage="1" showErrorMessage="1" sqref="K201:K203" xr:uid="{305EB89C-160B-436E-AA5E-DC71545583AA}">
      <formula1>$F$201:$F$203</formula1>
    </dataValidation>
    <dataValidation type="list" allowBlank="1" showInputMessage="1" showErrorMessage="1" sqref="K187:K189" xr:uid="{D86BA779-4062-4DD6-AF72-E02D2CC96249}">
      <formula1>$F$187:$F$189</formula1>
    </dataValidation>
    <dataValidation type="list" allowBlank="1" showInputMessage="1" showErrorMessage="1" sqref="K158:K160" xr:uid="{9EECB1E2-E19D-46D6-96FC-C5FCE7BDAB41}">
      <formula1>$F$158:$F$160</formula1>
    </dataValidation>
    <dataValidation type="list" allowBlank="1" showInputMessage="1" showErrorMessage="1" sqref="K138:K140" xr:uid="{2A790A9B-38EC-4E9D-9637-E19E666AC272}">
      <formula1>$F$138:$F$140</formula1>
    </dataValidation>
    <dataValidation type="list" allowBlank="1" showInputMessage="1" showErrorMessage="1" sqref="K135:K137" xr:uid="{89B70E93-959E-4970-A131-1A937CFF97FA}">
      <formula1>$F$135:$F$137</formula1>
    </dataValidation>
    <dataValidation type="list" allowBlank="1" showInputMessage="1" showErrorMessage="1" sqref="K80:K84" xr:uid="{67CA361A-AC69-4AF8-BB7B-DC1C8ED8B551}">
      <formula1>$F$80:$F$84</formula1>
    </dataValidation>
    <dataValidation type="list" allowBlank="1" showInputMessage="1" showErrorMessage="1" sqref="K77:K79" xr:uid="{EED45EDC-4A76-4D47-ABB0-9EFA825C0613}">
      <formula1>$F$77:$F$79</formula1>
    </dataValidation>
    <dataValidation type="list" allowBlank="1" showInputMessage="1" showErrorMessage="1" sqref="K71:K73" xr:uid="{0A099846-8065-4A52-AA22-8A95D01C39CD}">
      <formula1>$F$71:$F$73</formula1>
    </dataValidation>
    <dataValidation type="list" allowBlank="1" showInputMessage="1" showErrorMessage="1" sqref="K66:K70" xr:uid="{BE9C271C-B333-4693-8E18-59D6F4FAF1CF}">
      <formula1>$F$66:$F$70</formula1>
    </dataValidation>
    <dataValidation type="list" allowBlank="1" showInputMessage="1" showErrorMessage="1" sqref="K48:K50" xr:uid="{0418CF4C-E45B-47D5-BE5F-BC8649D87C00}">
      <formula1>$F$48:$F$50</formula1>
    </dataValidation>
    <dataValidation type="list" allowBlank="1" showInputMessage="1" showErrorMessage="1" sqref="K8:K12" xr:uid="{5DAA865B-44D9-41E3-9CD2-945BAB9FA92C}">
      <formula1>$F$8:$F$12</formula1>
    </dataValidation>
    <dataValidation type="list" allowBlank="1" showInputMessage="1" showErrorMessage="1" sqref="K13:K17" xr:uid="{6E8B7B94-7BB7-4753-8A1B-5D1E2C633A54}">
      <formula1>$F$13:$F$17</formula1>
    </dataValidation>
    <dataValidation type="list" allowBlank="1" showInputMessage="1" showErrorMessage="1" sqref="K18:K22" xr:uid="{49676342-8835-4ACD-99E2-46594592E6A8}">
      <formula1>$F$18:$F$22</formula1>
    </dataValidation>
    <dataValidation type="list" allowBlank="1" showInputMessage="1" showErrorMessage="1" sqref="K23:K27" xr:uid="{2452C7CE-6F8D-4572-A9B7-FABD4CBB3E2F}">
      <formula1>$F$23:$F$27</formula1>
    </dataValidation>
    <dataValidation type="list" allowBlank="1" showInputMessage="1" showErrorMessage="1" sqref="K28:K32" xr:uid="{54B992C0-77F3-4638-ABC4-EA1CDA705131}">
      <formula1>$F$28:$F$32</formula1>
    </dataValidation>
    <dataValidation type="list" allowBlank="1" showInputMessage="1" showErrorMessage="1" sqref="K33:K37" xr:uid="{76E2A01B-EE7E-4596-9BA9-1F7A32954302}">
      <formula1>$F$33:$F$37</formula1>
    </dataValidation>
    <dataValidation type="list" allowBlank="1" showInputMessage="1" showErrorMessage="1" sqref="K38:K42" xr:uid="{F29217CE-B01A-4E7E-B29F-AA6614F17AF1}">
      <formula1>$F$38:$F$42</formula1>
    </dataValidation>
    <dataValidation type="list" allowBlank="1" showInputMessage="1" showErrorMessage="1" sqref="K43:K47" xr:uid="{D989D0C7-9A39-4BC5-8F0D-216AC2282C7A}">
      <formula1>$F$43:$F$47</formula1>
    </dataValidation>
    <dataValidation type="list" allowBlank="1" showInputMessage="1" showErrorMessage="1" sqref="K51:K53" xr:uid="{5315C2C2-4375-444F-89B4-A0603B2BD7DE}">
      <formula1>$F$51:$F$53</formula1>
    </dataValidation>
    <dataValidation type="list" allowBlank="1" showInputMessage="1" showErrorMessage="1" sqref="K54:K56" xr:uid="{B552E8BD-1689-4065-A6B0-834BCEE408E3}">
      <formula1>$F$54:$F$56</formula1>
    </dataValidation>
    <dataValidation type="list" allowBlank="1" showInputMessage="1" showErrorMessage="1" sqref="K57:K59" xr:uid="{CBF69B3D-D5FB-4893-8A71-94040E66E7E2}">
      <formula1>$F$57:$F$59</formula1>
    </dataValidation>
    <dataValidation type="list" allowBlank="1" showInputMessage="1" showErrorMessage="1" sqref="K60:K62" xr:uid="{0F83112F-7436-44DF-B6FB-6B193E40ED89}">
      <formula1>$F$60:$F$62</formula1>
    </dataValidation>
    <dataValidation type="list" allowBlank="1" showInputMessage="1" showErrorMessage="1" sqref="K63:K65" xr:uid="{A552F8E4-BA8E-4DA1-BC34-596BF1ADFF11}">
      <formula1>$F$63:$F$65</formula1>
    </dataValidation>
    <dataValidation type="list" allowBlank="1" showInputMessage="1" showErrorMessage="1" sqref="K74:K76" xr:uid="{47C14379-04B5-419E-9732-6DBBEA91D33F}">
      <formula1>$F$74:$F$76</formula1>
    </dataValidation>
    <dataValidation type="list" allowBlank="1" showInputMessage="1" showErrorMessage="1" sqref="K85:K87" xr:uid="{D8F19BD6-AD38-4367-ACEA-83363AE899E4}">
      <formula1>$F$85:$F$87</formula1>
    </dataValidation>
    <dataValidation type="list" allowBlank="1" showInputMessage="1" showErrorMessage="1" sqref="K88:K90" xr:uid="{B17D8B1D-5934-4C08-B96A-321895EABE76}">
      <formula1>$F$88:$F$90</formula1>
    </dataValidation>
    <dataValidation type="list" allowBlank="1" showInputMessage="1" showErrorMessage="1" sqref="K91:K93" xr:uid="{AC5BC3E9-B38A-4C98-950C-3A428CF137E8}">
      <formula1>$F$91:$F$93</formula1>
    </dataValidation>
    <dataValidation type="list" allowBlank="1" showInputMessage="1" showErrorMessage="1" sqref="K94:K96" xr:uid="{6DA2E00C-4379-42DF-AE4C-0ECFBCC35D53}">
      <formula1>$F$94:$F$96</formula1>
    </dataValidation>
    <dataValidation type="list" allowBlank="1" showInputMessage="1" showErrorMessage="1" sqref="K97:K99" xr:uid="{61C53AB8-F8EF-4149-AE8C-57EC70842EE4}">
      <formula1>$F$97:$F$99</formula1>
    </dataValidation>
    <dataValidation type="list" allowBlank="1" showInputMessage="1" showErrorMessage="1" sqref="K100:K102" xr:uid="{1F1524C9-22C5-4DAF-AB88-90B132A38568}">
      <formula1>$F$100:$F$102</formula1>
    </dataValidation>
    <dataValidation type="list" allowBlank="1" showInputMessage="1" showErrorMessage="1" sqref="K103:K105" xr:uid="{1DF487A2-B218-439A-8FF9-7D1617BE3F8F}">
      <formula1>$F$103:$F$105</formula1>
    </dataValidation>
    <dataValidation type="list" allowBlank="1" showInputMessage="1" showErrorMessage="1" sqref="K109:K111" xr:uid="{B0B5CF4D-4F9A-44B1-B91D-4B037C7D70D4}">
      <formula1>$F$109:$F$111</formula1>
    </dataValidation>
    <dataValidation type="list" allowBlank="1" showInputMessage="1" showErrorMessage="1" sqref="K114:K116" xr:uid="{A4BF711E-2DA2-4561-9772-A04CC8049CD1}">
      <formula1>$F$114:$F$116</formula1>
    </dataValidation>
    <dataValidation type="list" allowBlank="1" showInputMessage="1" showErrorMessage="1" sqref="K117:K119" xr:uid="{79E7CD0B-FF4C-4CE5-A9E4-CAF16021934B}">
      <formula1>$F$117:$F$119</formula1>
    </dataValidation>
    <dataValidation type="list" allowBlank="1" showInputMessage="1" showErrorMessage="1" sqref="K125:K129" xr:uid="{DD4C228C-E788-4ACF-A780-40F43E39638C}">
      <formula1>$F$125:$F$129</formula1>
    </dataValidation>
    <dataValidation type="list" allowBlank="1" showInputMessage="1" showErrorMessage="1" sqref="K130:K134" xr:uid="{D70EA72B-46B5-489C-992F-B9B50669BB37}">
      <formula1>$F$130:$F$134</formula1>
    </dataValidation>
    <dataValidation type="list" allowBlank="1" showInputMessage="1" showErrorMessage="1" sqref="K141:K143" xr:uid="{74291A43-5076-420E-BF4A-8FD93C18E11F}">
      <formula1>$F$141:$F$143</formula1>
    </dataValidation>
    <dataValidation type="list" allowBlank="1" showInputMessage="1" showErrorMessage="1" sqref="K144:K146" xr:uid="{12C21144-D549-4520-AEF3-BA9466DE7FCC}">
      <formula1>$F$144:$F$146</formula1>
    </dataValidation>
    <dataValidation type="list" allowBlank="1" showInputMessage="1" showErrorMessage="1" sqref="K147:K149" xr:uid="{BFE36ED8-2BE1-49AF-B8C9-AA1D4B81EE32}">
      <formula1>$F$147:$F$149</formula1>
    </dataValidation>
    <dataValidation type="list" allowBlank="1" showInputMessage="1" showErrorMessage="1" sqref="K150:K152" xr:uid="{BBD5C5B1-9B3A-4D72-A0DA-5CA34E9648C8}">
      <formula1>$F$150:$F$152</formula1>
    </dataValidation>
    <dataValidation type="list" allowBlank="1" showInputMessage="1" showErrorMessage="1" sqref="K161:K163" xr:uid="{A13FAB25-254E-41E2-AF14-8D1606485C90}">
      <formula1>$F$161:$F$163</formula1>
    </dataValidation>
    <dataValidation type="list" allowBlank="1" showInputMessage="1" showErrorMessage="1" sqref="K164:K166" xr:uid="{60AA2198-1116-4D31-AAB8-58BF61381A83}">
      <formula1>$F$164:$F$166</formula1>
    </dataValidation>
    <dataValidation type="list" allowBlank="1" showInputMessage="1" showErrorMessage="1" sqref="K167:K169" xr:uid="{4B31C262-9A2B-479C-AE00-A787A2CF2CEC}">
      <formula1>$F$167:$F$169</formula1>
    </dataValidation>
    <dataValidation type="list" allowBlank="1" showInputMessage="1" showErrorMessage="1" sqref="K170:K173" xr:uid="{9DE8FF8A-5C9C-4E9B-B9A8-F9285450D870}">
      <formula1>$F$170:$F$173</formula1>
    </dataValidation>
    <dataValidation type="list" allowBlank="1" showInputMessage="1" showErrorMessage="1" sqref="K174:K176" xr:uid="{257D9058-AB4A-4B56-8CB1-FA9FC6219A40}">
      <formula1>$F$174:$F$176</formula1>
    </dataValidation>
    <dataValidation type="list" allowBlank="1" showInputMessage="1" showErrorMessage="1" sqref="K177:K181" xr:uid="{25FDE120-23B3-4D5D-876D-6D35A56D2BE8}">
      <formula1>$F$177:$F$181</formula1>
    </dataValidation>
    <dataValidation type="list" allowBlank="1" showInputMessage="1" showErrorMessage="1" sqref="K190:K192" xr:uid="{1C672932-8DEC-4F9B-BFC8-004311AFDF1B}">
      <formula1>$F$190:$F$192</formula1>
    </dataValidation>
    <dataValidation type="list" allowBlank="1" showInputMessage="1" showErrorMessage="1" sqref="K193:K195" xr:uid="{5CE50E85-EE3F-4118-A62E-D5C7FE71BA60}">
      <formula1>$F$193:$F$195</formula1>
    </dataValidation>
    <dataValidation type="list" allowBlank="1" showInputMessage="1" showErrorMessage="1" sqref="K196:K198" xr:uid="{348BC942-C459-4356-86FD-A4CAEC68ECB5}">
      <formula1>$F$196:$F$198</formula1>
    </dataValidation>
  </dataValidations>
  <pageMargins left="0.25" right="0.25" top="0.75" bottom="0.75" header="0.3" footer="0.3"/>
  <pageSetup paperSize="9" scale="40"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5">
    <tabColor theme="2" tint="-0.249977111117893"/>
  </sheetPr>
  <dimension ref="A1:B58"/>
  <sheetViews>
    <sheetView tabSelected="1" workbookViewId="0">
      <selection activeCell="A2" sqref="A2:A58"/>
    </sheetView>
  </sheetViews>
  <sheetFormatPr baseColWidth="10" defaultColWidth="10.7109375" defaultRowHeight="15" x14ac:dyDescent="0.25"/>
  <cols>
    <col min="1" max="1" width="43.7109375" bestFit="1" customWidth="1"/>
    <col min="2" max="2" width="18.7109375" bestFit="1" customWidth="1"/>
  </cols>
  <sheetData>
    <row r="1" spans="1:2" x14ac:dyDescent="0.25">
      <c r="B1" t="s">
        <v>323</v>
      </c>
    </row>
    <row r="2" spans="1:2" x14ac:dyDescent="0.25">
      <c r="A2" s="59" t="s">
        <v>1772</v>
      </c>
      <c r="B2" t="str">
        <f>Indicators!K3</f>
        <v>Low</v>
      </c>
    </row>
    <row r="3" spans="1:2" x14ac:dyDescent="0.25">
      <c r="A3" s="59" t="s">
        <v>23</v>
      </c>
      <c r="B3" t="e">
        <f>Indicators!K8</f>
        <v>#DIV/0!</v>
      </c>
    </row>
    <row r="4" spans="1:2" x14ac:dyDescent="0.25">
      <c r="A4" s="59" t="s">
        <v>30</v>
      </c>
      <c r="B4" t="e">
        <f>Indicators!K13</f>
        <v>#DIV/0!</v>
      </c>
    </row>
    <row r="5" spans="1:2" x14ac:dyDescent="0.25">
      <c r="A5" s="59" t="s">
        <v>43</v>
      </c>
      <c r="B5" t="e">
        <f>Indicators!K18</f>
        <v>#DIV/0!</v>
      </c>
    </row>
    <row r="6" spans="1:2" x14ac:dyDescent="0.25">
      <c r="A6" s="59" t="s">
        <v>52</v>
      </c>
      <c r="B6" t="str">
        <f>Indicators!K23</f>
        <v>Very Low</v>
      </c>
    </row>
    <row r="7" spans="1:2" x14ac:dyDescent="0.25">
      <c r="A7" s="59" t="s">
        <v>1773</v>
      </c>
      <c r="B7" t="e">
        <f>Indicators!K28</f>
        <v>#DIV/0!</v>
      </c>
    </row>
    <row r="8" spans="1:2" x14ac:dyDescent="0.25">
      <c r="A8" s="59" t="s">
        <v>61</v>
      </c>
      <c r="B8" t="e">
        <f>Indicators!K33</f>
        <v>#DIV/0!</v>
      </c>
    </row>
    <row r="9" spans="1:2" x14ac:dyDescent="0.25">
      <c r="A9" s="59" t="s">
        <v>73</v>
      </c>
      <c r="B9" t="e">
        <f>Indicators!K38</f>
        <v>#DIV/0!</v>
      </c>
    </row>
    <row r="10" spans="1:2" x14ac:dyDescent="0.25">
      <c r="A10" s="59" t="s">
        <v>1774</v>
      </c>
      <c r="B10" t="e">
        <f>Indicators!K43</f>
        <v>#DIV/0!</v>
      </c>
    </row>
    <row r="11" spans="1:2" x14ac:dyDescent="0.25">
      <c r="A11" s="59" t="s">
        <v>90</v>
      </c>
      <c r="B11" t="str">
        <f>Indicators!K48</f>
        <v>Medium</v>
      </c>
    </row>
    <row r="12" spans="1:2" x14ac:dyDescent="0.25">
      <c r="A12" s="59" t="s">
        <v>89</v>
      </c>
      <c r="B12" t="e">
        <f>Indicators!K51</f>
        <v>#NUM!</v>
      </c>
    </row>
    <row r="13" spans="1:2" x14ac:dyDescent="0.25">
      <c r="A13" s="59" t="s">
        <v>1775</v>
      </c>
      <c r="B13" t="e">
        <f>Indicators!K54</f>
        <v>#DIV/0!</v>
      </c>
    </row>
    <row r="14" spans="1:2" x14ac:dyDescent="0.25">
      <c r="A14" s="59" t="s">
        <v>97</v>
      </c>
      <c r="B14" t="str">
        <f>Indicators!K57</f>
        <v>Low</v>
      </c>
    </row>
    <row r="15" spans="1:2" x14ac:dyDescent="0.25">
      <c r="A15" s="59" t="s">
        <v>280</v>
      </c>
      <c r="B15" t="str">
        <f>Indicators!K60</f>
        <v>Low</v>
      </c>
    </row>
    <row r="16" spans="1:2" x14ac:dyDescent="0.25">
      <c r="A16" s="59" t="s">
        <v>105</v>
      </c>
      <c r="B16" t="str">
        <f>Indicators!K63</f>
        <v>Low</v>
      </c>
    </row>
    <row r="17" spans="1:2" x14ac:dyDescent="0.25">
      <c r="A17" s="59" t="s">
        <v>1776</v>
      </c>
      <c r="B17" t="str">
        <f>Indicators!K66</f>
        <v>Very High</v>
      </c>
    </row>
    <row r="18" spans="1:2" x14ac:dyDescent="0.25">
      <c r="A18" s="59" t="s">
        <v>130</v>
      </c>
      <c r="B18" t="e">
        <f>Indicators!K71</f>
        <v>#DIV/0!</v>
      </c>
    </row>
    <row r="19" spans="1:2" x14ac:dyDescent="0.25">
      <c r="A19" s="59" t="s">
        <v>1777</v>
      </c>
      <c r="B19" t="e">
        <f>Indicators!K74</f>
        <v>#DIV/0!</v>
      </c>
    </row>
    <row r="20" spans="1:2" x14ac:dyDescent="0.25">
      <c r="A20" s="59" t="s">
        <v>1778</v>
      </c>
      <c r="B20" t="e">
        <f>Indicators!K77</f>
        <v>#DIV/0!</v>
      </c>
    </row>
    <row r="21" spans="1:2" x14ac:dyDescent="0.25">
      <c r="A21" s="59" t="s">
        <v>142</v>
      </c>
      <c r="B21" t="e">
        <f>Indicators!K80</f>
        <v>#DIV/0!</v>
      </c>
    </row>
    <row r="22" spans="1:2" x14ac:dyDescent="0.25">
      <c r="A22" s="59" t="s">
        <v>151</v>
      </c>
      <c r="B22" t="b">
        <f>Indicators!K85</f>
        <v>0</v>
      </c>
    </row>
    <row r="23" spans="1:2" x14ac:dyDescent="0.25">
      <c r="A23" s="59" t="s">
        <v>153</v>
      </c>
      <c r="B23" t="str">
        <f>Indicators!K88</f>
        <v>Low</v>
      </c>
    </row>
    <row r="24" spans="1:2" x14ac:dyDescent="0.25">
      <c r="A24" s="59" t="s">
        <v>156</v>
      </c>
      <c r="B24" t="e">
        <f>Indicators!K91</f>
        <v>#DIV/0!</v>
      </c>
    </row>
    <row r="25" spans="1:2" x14ac:dyDescent="0.25">
      <c r="A25" s="59" t="s">
        <v>336</v>
      </c>
      <c r="B25" t="e">
        <f>Indicators!K94</f>
        <v>#DIV/0!</v>
      </c>
    </row>
    <row r="26" spans="1:2" x14ac:dyDescent="0.25">
      <c r="A26" s="59" t="s">
        <v>1779</v>
      </c>
      <c r="B26" t="b">
        <f>Indicators!K97</f>
        <v>0</v>
      </c>
    </row>
    <row r="27" spans="1:2" x14ac:dyDescent="0.25">
      <c r="A27" s="59" t="s">
        <v>168</v>
      </c>
      <c r="B27" t="e">
        <f>Indicators!K100</f>
        <v>#DIV/0!</v>
      </c>
    </row>
    <row r="28" spans="1:2" x14ac:dyDescent="0.25">
      <c r="A28" s="59" t="s">
        <v>169</v>
      </c>
      <c r="B28" t="e">
        <f>Indicators!K103</f>
        <v>#DIV/0!</v>
      </c>
    </row>
    <row r="29" spans="1:2" x14ac:dyDescent="0.25">
      <c r="A29" s="59" t="s">
        <v>177</v>
      </c>
      <c r="B29" t="e">
        <f>Indicators!K106</f>
        <v>#DIV/0!</v>
      </c>
    </row>
    <row r="30" spans="1:2" x14ac:dyDescent="0.25">
      <c r="A30" s="59" t="s">
        <v>178</v>
      </c>
      <c r="B30" t="e">
        <f>Indicators!K109</f>
        <v>#DIV/0!</v>
      </c>
    </row>
    <row r="31" spans="1:2" x14ac:dyDescent="0.25">
      <c r="A31" s="59" t="s">
        <v>1780</v>
      </c>
      <c r="B31">
        <f>Indicators!K112</f>
        <v>0</v>
      </c>
    </row>
    <row r="32" spans="1:2" x14ac:dyDescent="0.25">
      <c r="A32" s="59" t="s">
        <v>1781</v>
      </c>
      <c r="B32" t="str">
        <f>Indicators!K114</f>
        <v>Low</v>
      </c>
    </row>
    <row r="33" spans="1:2" x14ac:dyDescent="0.25">
      <c r="A33" s="59" t="s">
        <v>184</v>
      </c>
      <c r="B33" t="str">
        <f>Indicators!K117</f>
        <v>Low</v>
      </c>
    </row>
    <row r="34" spans="1:2" x14ac:dyDescent="0.25">
      <c r="A34" s="59" t="s">
        <v>328</v>
      </c>
      <c r="B34" t="e">
        <f>Indicators!K120</f>
        <v>#DIV/0!</v>
      </c>
    </row>
    <row r="35" spans="1:2" x14ac:dyDescent="0.25">
      <c r="A35" s="59" t="s">
        <v>366</v>
      </c>
      <c r="B35" t="e">
        <f>Indicators!K125</f>
        <v>#DIV/0!</v>
      </c>
    </row>
    <row r="36" spans="1:2" x14ac:dyDescent="0.25">
      <c r="A36" s="59" t="s">
        <v>367</v>
      </c>
      <c r="B36" t="e">
        <f>Indicators!K130</f>
        <v>#DIV/0!</v>
      </c>
    </row>
    <row r="37" spans="1:2" x14ac:dyDescent="0.25">
      <c r="A37" s="59" t="s">
        <v>202</v>
      </c>
      <c r="B37" t="e">
        <f>Indicators!K135</f>
        <v>#DIV/0!</v>
      </c>
    </row>
    <row r="38" spans="1:2" x14ac:dyDescent="0.25">
      <c r="A38" s="59" t="s">
        <v>206</v>
      </c>
      <c r="B38" t="b">
        <f>Indicators!K138</f>
        <v>0</v>
      </c>
    </row>
    <row r="39" spans="1:2" x14ac:dyDescent="0.25">
      <c r="A39" s="59" t="s">
        <v>1782</v>
      </c>
      <c r="B39" t="e">
        <f>Indicators!K141</f>
        <v>#DIV/0!</v>
      </c>
    </row>
    <row r="40" spans="1:2" x14ac:dyDescent="0.25">
      <c r="A40" s="59" t="s">
        <v>214</v>
      </c>
      <c r="B40" t="e">
        <f>Indicators!K144</f>
        <v>#DIV/0!</v>
      </c>
    </row>
    <row r="41" spans="1:2" x14ac:dyDescent="0.25">
      <c r="A41" s="59" t="s">
        <v>218</v>
      </c>
      <c r="B41" t="e">
        <f>Indicators!K147</f>
        <v>#DIV/0!</v>
      </c>
    </row>
    <row r="42" spans="1:2" x14ac:dyDescent="0.25">
      <c r="A42" s="59" t="s">
        <v>1783</v>
      </c>
      <c r="B42" t="e">
        <f>Indicators!K150</f>
        <v>#DIV/0!</v>
      </c>
    </row>
    <row r="43" spans="1:2" x14ac:dyDescent="0.25">
      <c r="A43" s="59" t="s">
        <v>229</v>
      </c>
      <c r="B43" t="str">
        <f>Indicators!K153</f>
        <v>Very Low</v>
      </c>
    </row>
    <row r="44" spans="1:2" x14ac:dyDescent="0.25">
      <c r="A44" s="59" t="s">
        <v>231</v>
      </c>
      <c r="B44" t="str">
        <f>Indicators!K158</f>
        <v>Low</v>
      </c>
    </row>
    <row r="45" spans="1:2" x14ac:dyDescent="0.25">
      <c r="A45" s="59" t="s">
        <v>232</v>
      </c>
      <c r="B45" t="str">
        <f>Indicators!K161</f>
        <v>Low</v>
      </c>
    </row>
    <row r="46" spans="1:2" x14ac:dyDescent="0.25">
      <c r="A46" s="59" t="s">
        <v>329</v>
      </c>
      <c r="B46" t="str">
        <f>Indicators!K164</f>
        <v>Low</v>
      </c>
    </row>
    <row r="47" spans="1:2" x14ac:dyDescent="0.25">
      <c r="A47" s="59" t="s">
        <v>1784</v>
      </c>
      <c r="B47" t="str">
        <f>Indicators!K167</f>
        <v>Low</v>
      </c>
    </row>
    <row r="48" spans="1:2" x14ac:dyDescent="0.25">
      <c r="A48" s="59" t="s">
        <v>243</v>
      </c>
      <c r="B48" t="str">
        <f>Indicators!K170</f>
        <v>Very Low</v>
      </c>
    </row>
    <row r="49" spans="1:2" x14ac:dyDescent="0.25">
      <c r="A49" s="59" t="s">
        <v>248</v>
      </c>
      <c r="B49" t="str">
        <f>Indicators!K174</f>
        <v>Low</v>
      </c>
    </row>
    <row r="50" spans="1:2" x14ac:dyDescent="0.25">
      <c r="A50" s="59" t="s">
        <v>253</v>
      </c>
      <c r="B50" t="str">
        <f>Indicators!K177</f>
        <v>Very Low</v>
      </c>
    </row>
    <row r="51" spans="1:2" x14ac:dyDescent="0.25">
      <c r="A51" s="59" t="s">
        <v>255</v>
      </c>
      <c r="B51" t="str">
        <f>Indicators!K182</f>
        <v>Very Low</v>
      </c>
    </row>
    <row r="52" spans="1:2" x14ac:dyDescent="0.25">
      <c r="A52" s="59" t="s">
        <v>330</v>
      </c>
      <c r="B52" t="e">
        <f>Indicators!K187</f>
        <v>#DIV/0!</v>
      </c>
    </row>
    <row r="53" spans="1:2" x14ac:dyDescent="0.25">
      <c r="A53" s="59" t="s">
        <v>331</v>
      </c>
      <c r="B53" t="str">
        <f>Indicators!K190</f>
        <v>Medium</v>
      </c>
    </row>
    <row r="54" spans="1:2" x14ac:dyDescent="0.25">
      <c r="A54" s="59" t="s">
        <v>262</v>
      </c>
      <c r="B54" t="str">
        <f>Indicators!K193</f>
        <v>Low</v>
      </c>
    </row>
    <row r="55" spans="1:2" x14ac:dyDescent="0.25">
      <c r="A55" s="59" t="s">
        <v>1785</v>
      </c>
      <c r="B55" t="e">
        <f>Indicators!K196</f>
        <v>#DIV/0!</v>
      </c>
    </row>
    <row r="56" spans="1:2" x14ac:dyDescent="0.25">
      <c r="A56" s="59" t="s">
        <v>269</v>
      </c>
      <c r="B56" t="b">
        <f>Indicators!K199</f>
        <v>0</v>
      </c>
    </row>
    <row r="57" spans="1:2" x14ac:dyDescent="0.25">
      <c r="A57" s="59" t="s">
        <v>279</v>
      </c>
      <c r="B57" t="str">
        <f>Indicators!K201</f>
        <v>Low</v>
      </c>
    </row>
    <row r="58" spans="1:2" x14ac:dyDescent="0.25">
      <c r="A58" s="59" t="s">
        <v>1786</v>
      </c>
      <c r="B58" t="str">
        <f>Indicators!K204</f>
        <v>Low</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9E3B5-3314-47DF-978A-1344B69CF921}">
  <sheetPr>
    <tabColor theme="8" tint="-0.249977111117893"/>
  </sheetPr>
  <dimension ref="A1:V35"/>
  <sheetViews>
    <sheetView workbookViewId="0">
      <selection activeCell="B3" sqref="B3:F3"/>
    </sheetView>
  </sheetViews>
  <sheetFormatPr baseColWidth="10" defaultColWidth="10.7109375" defaultRowHeight="15" x14ac:dyDescent="0.25"/>
  <cols>
    <col min="1" max="1" width="17.42578125" style="79" customWidth="1"/>
    <col min="2" max="4" width="10.7109375" style="79"/>
    <col min="5" max="5" width="30.7109375" style="79" customWidth="1"/>
    <col min="6" max="19" width="10.7109375" style="79"/>
    <col min="20" max="20" width="12.7109375" style="79" customWidth="1"/>
    <col min="21" max="21" width="13.42578125" style="79" customWidth="1"/>
    <col min="22" max="16384" width="10.7109375" style="79"/>
  </cols>
  <sheetData>
    <row r="1" spans="1:18" ht="37.5" x14ac:dyDescent="0.3">
      <c r="A1" s="147" t="s">
        <v>1126</v>
      </c>
    </row>
    <row r="2" spans="1:18" ht="15.75" thickBot="1" x14ac:dyDescent="0.3">
      <c r="A2" s="148"/>
    </row>
    <row r="3" spans="1:18" ht="15.75" thickBot="1" x14ac:dyDescent="0.3">
      <c r="A3" s="148" t="s">
        <v>1127</v>
      </c>
      <c r="B3" s="1063"/>
      <c r="C3" s="1064"/>
      <c r="D3" s="1064"/>
      <c r="E3" s="1064"/>
      <c r="F3" s="1065"/>
    </row>
    <row r="5" spans="1:18" ht="30" x14ac:dyDescent="0.25">
      <c r="A5" s="148" t="s">
        <v>1128</v>
      </c>
      <c r="B5" s="149" t="s">
        <v>1129</v>
      </c>
      <c r="C5" s="149" t="s">
        <v>1130</v>
      </c>
      <c r="D5" s="149" t="s">
        <v>1131</v>
      </c>
      <c r="E5" s="150" t="s">
        <v>1132</v>
      </c>
      <c r="F5" s="150" t="s">
        <v>1463</v>
      </c>
      <c r="G5" s="150" t="s">
        <v>1136</v>
      </c>
    </row>
    <row r="6" spans="1:18" x14ac:dyDescent="0.25">
      <c r="B6" s="79" t="s">
        <v>1646</v>
      </c>
      <c r="C6" s="79" t="s">
        <v>1137</v>
      </c>
      <c r="D6" s="79" t="s">
        <v>1138</v>
      </c>
      <c r="E6" s="704"/>
      <c r="F6" s="700"/>
      <c r="G6" s="700"/>
      <c r="M6" s="151"/>
    </row>
    <row r="7" spans="1:18" x14ac:dyDescent="0.25">
      <c r="B7" s="79" t="s">
        <v>1646</v>
      </c>
      <c r="C7" s="79" t="s">
        <v>1137</v>
      </c>
      <c r="D7" s="79" t="s">
        <v>1139</v>
      </c>
      <c r="E7" s="704"/>
      <c r="F7" s="700"/>
      <c r="G7" s="700"/>
      <c r="M7" s="151"/>
    </row>
    <row r="8" spans="1:18" x14ac:dyDescent="0.25">
      <c r="B8" s="79" t="s">
        <v>1646</v>
      </c>
      <c r="C8" s="79" t="s">
        <v>1137</v>
      </c>
      <c r="D8" s="79" t="s">
        <v>1194</v>
      </c>
      <c r="E8" s="704"/>
      <c r="F8" s="700"/>
      <c r="G8" s="700"/>
      <c r="M8" s="151"/>
    </row>
    <row r="9" spans="1:18" x14ac:dyDescent="0.25">
      <c r="B9" s="79" t="s">
        <v>1646</v>
      </c>
      <c r="C9" s="79" t="s">
        <v>1137</v>
      </c>
      <c r="D9" s="79" t="s">
        <v>1569</v>
      </c>
      <c r="E9" s="704"/>
      <c r="F9" s="700"/>
      <c r="G9" s="700"/>
      <c r="M9" s="151"/>
    </row>
    <row r="10" spans="1:18" x14ac:dyDescent="0.25">
      <c r="B10" s="79" t="s">
        <v>1646</v>
      </c>
      <c r="C10" s="79" t="s">
        <v>1137</v>
      </c>
      <c r="D10" s="79" t="s">
        <v>1570</v>
      </c>
      <c r="E10" s="704"/>
      <c r="F10" s="700"/>
      <c r="G10" s="700"/>
      <c r="M10" s="151"/>
    </row>
    <row r="12" spans="1:18" ht="60" x14ac:dyDescent="0.25">
      <c r="A12" s="148" t="s">
        <v>1140</v>
      </c>
      <c r="B12" s="149" t="s">
        <v>1129</v>
      </c>
      <c r="C12" s="149" t="s">
        <v>1130</v>
      </c>
      <c r="D12" s="149" t="s">
        <v>1131</v>
      </c>
      <c r="E12" s="150" t="s">
        <v>1132</v>
      </c>
      <c r="F12" s="150" t="s">
        <v>1141</v>
      </c>
      <c r="G12" s="150" t="s">
        <v>1142</v>
      </c>
      <c r="H12" s="150" t="s">
        <v>1143</v>
      </c>
      <c r="I12" s="150" t="s">
        <v>1144</v>
      </c>
      <c r="J12" s="150" t="s">
        <v>1145</v>
      </c>
      <c r="K12" s="150" t="s">
        <v>1146</v>
      </c>
      <c r="L12" s="150" t="s">
        <v>1147</v>
      </c>
      <c r="M12" s="150" t="s">
        <v>1148</v>
      </c>
      <c r="N12" s="150" t="s">
        <v>1149</v>
      </c>
      <c r="O12" s="150" t="s">
        <v>1150</v>
      </c>
      <c r="P12" s="150" t="s">
        <v>1151</v>
      </c>
      <c r="Q12" s="150" t="s">
        <v>1152</v>
      </c>
      <c r="R12" s="150" t="s">
        <v>1136</v>
      </c>
    </row>
    <row r="13" spans="1:18" x14ac:dyDescent="0.25">
      <c r="B13" s="79" t="s">
        <v>1646</v>
      </c>
      <c r="C13" s="79" t="s">
        <v>1137</v>
      </c>
      <c r="D13" s="79" t="s">
        <v>1153</v>
      </c>
      <c r="E13" s="701"/>
      <c r="F13" s="701"/>
      <c r="G13" s="701"/>
      <c r="H13" s="701"/>
      <c r="I13" s="701"/>
      <c r="J13" s="701"/>
      <c r="K13" s="701"/>
      <c r="L13" s="701"/>
      <c r="M13" s="701"/>
      <c r="N13" s="701"/>
      <c r="O13" s="701"/>
      <c r="P13" s="701"/>
      <c r="Q13" s="701"/>
      <c r="R13" s="700"/>
    </row>
    <row r="14" spans="1:18" x14ac:dyDescent="0.25">
      <c r="B14" s="79" t="s">
        <v>1646</v>
      </c>
      <c r="C14" s="79" t="s">
        <v>1137</v>
      </c>
      <c r="D14" s="79" t="s">
        <v>1195</v>
      </c>
      <c r="E14" s="701"/>
      <c r="F14" s="701"/>
      <c r="G14" s="701"/>
      <c r="H14" s="701"/>
      <c r="I14" s="701"/>
      <c r="J14" s="701"/>
      <c r="K14" s="701"/>
      <c r="L14" s="701"/>
      <c r="M14" s="701"/>
      <c r="N14" s="701"/>
      <c r="O14" s="701"/>
      <c r="P14" s="701"/>
      <c r="Q14" s="701"/>
      <c r="R14" s="700"/>
    </row>
    <row r="15" spans="1:18" x14ac:dyDescent="0.25">
      <c r="B15" s="79" t="s">
        <v>1646</v>
      </c>
      <c r="C15" s="79" t="s">
        <v>1137</v>
      </c>
      <c r="D15" s="79" t="s">
        <v>1196</v>
      </c>
      <c r="E15" s="701"/>
      <c r="F15" s="701"/>
      <c r="G15" s="701"/>
      <c r="H15" s="701"/>
      <c r="I15" s="701"/>
      <c r="J15" s="701"/>
      <c r="K15" s="701"/>
      <c r="L15" s="701"/>
      <c r="M15" s="701"/>
      <c r="N15" s="701"/>
      <c r="O15" s="701"/>
      <c r="P15" s="701"/>
      <c r="Q15" s="701"/>
      <c r="R15" s="700"/>
    </row>
    <row r="16" spans="1:18" x14ac:dyDescent="0.25">
      <c r="B16" s="79" t="s">
        <v>1646</v>
      </c>
      <c r="C16" s="79" t="s">
        <v>1137</v>
      </c>
      <c r="D16" s="79" t="s">
        <v>1197</v>
      </c>
      <c r="E16" s="700"/>
      <c r="F16" s="700"/>
      <c r="G16" s="700"/>
      <c r="H16" s="700"/>
      <c r="I16" s="700"/>
      <c r="J16" s="700"/>
      <c r="K16" s="700"/>
      <c r="L16" s="700"/>
      <c r="M16" s="700"/>
      <c r="N16" s="700"/>
      <c r="O16" s="700"/>
      <c r="P16" s="700"/>
      <c r="Q16" s="700"/>
      <c r="R16" s="700"/>
    </row>
    <row r="18" spans="1:22" ht="60" x14ac:dyDescent="0.25">
      <c r="A18" s="148" t="s">
        <v>1155</v>
      </c>
      <c r="B18" s="149" t="s">
        <v>1129</v>
      </c>
      <c r="C18" s="149" t="s">
        <v>1130</v>
      </c>
      <c r="D18" s="149" t="s">
        <v>1131</v>
      </c>
      <c r="E18" s="150" t="s">
        <v>1132</v>
      </c>
      <c r="F18" s="152" t="s">
        <v>1156</v>
      </c>
      <c r="G18" s="152" t="s">
        <v>1157</v>
      </c>
      <c r="H18" s="150" t="s">
        <v>1142</v>
      </c>
      <c r="I18" s="150" t="s">
        <v>1143</v>
      </c>
      <c r="J18" s="150" t="s">
        <v>1145</v>
      </c>
      <c r="K18" s="150" t="s">
        <v>1146</v>
      </c>
      <c r="L18" s="150" t="s">
        <v>1148</v>
      </c>
      <c r="M18" s="150" t="s">
        <v>1149</v>
      </c>
      <c r="N18" s="150" t="s">
        <v>1158</v>
      </c>
      <c r="O18" s="150" t="s">
        <v>1159</v>
      </c>
      <c r="P18" s="150" t="s">
        <v>1151</v>
      </c>
      <c r="Q18" s="150" t="s">
        <v>1152</v>
      </c>
      <c r="R18" s="150" t="s">
        <v>1136</v>
      </c>
    </row>
    <row r="19" spans="1:22" x14ac:dyDescent="0.25">
      <c r="B19" s="79" t="s">
        <v>1646</v>
      </c>
      <c r="C19" s="79" t="s">
        <v>1137</v>
      </c>
      <c r="D19" s="79" t="s">
        <v>1160</v>
      </c>
      <c r="E19" s="701"/>
      <c r="F19" s="701"/>
      <c r="G19" s="701"/>
      <c r="H19" s="701"/>
      <c r="I19" s="701"/>
      <c r="J19" s="701"/>
      <c r="K19" s="701"/>
      <c r="L19" s="701"/>
      <c r="M19" s="701"/>
      <c r="N19" s="701"/>
      <c r="O19" s="701"/>
      <c r="P19" s="701"/>
      <c r="Q19" s="701"/>
      <c r="R19" s="701"/>
    </row>
    <row r="20" spans="1:22" x14ac:dyDescent="0.25">
      <c r="B20" s="79" t="s">
        <v>1646</v>
      </c>
      <c r="C20" s="79" t="s">
        <v>1137</v>
      </c>
      <c r="D20" s="79" t="s">
        <v>1198</v>
      </c>
      <c r="E20" s="701"/>
      <c r="F20" s="701"/>
      <c r="G20" s="701"/>
      <c r="H20" s="701"/>
      <c r="I20" s="701"/>
      <c r="J20" s="701"/>
      <c r="K20" s="701"/>
      <c r="L20" s="701"/>
      <c r="M20" s="701"/>
      <c r="N20" s="701"/>
      <c r="O20" s="701"/>
      <c r="P20" s="701"/>
      <c r="Q20" s="701"/>
      <c r="R20" s="701"/>
    </row>
    <row r="21" spans="1:22" x14ac:dyDescent="0.25">
      <c r="B21" s="79" t="s">
        <v>1646</v>
      </c>
      <c r="C21" s="79" t="s">
        <v>1137</v>
      </c>
      <c r="D21" s="79" t="s">
        <v>1199</v>
      </c>
      <c r="E21" s="701"/>
      <c r="F21" s="701"/>
      <c r="G21" s="701"/>
      <c r="H21" s="701"/>
      <c r="I21" s="701"/>
      <c r="J21" s="701"/>
      <c r="K21" s="701"/>
      <c r="L21" s="701"/>
      <c r="M21" s="701"/>
      <c r="N21" s="701"/>
      <c r="O21" s="701"/>
      <c r="P21" s="701"/>
      <c r="Q21" s="701"/>
      <c r="R21" s="701"/>
    </row>
    <row r="22" spans="1:22" x14ac:dyDescent="0.25">
      <c r="B22" s="79" t="s">
        <v>1646</v>
      </c>
      <c r="C22" s="79" t="s">
        <v>1137</v>
      </c>
      <c r="D22" s="79" t="s">
        <v>1200</v>
      </c>
      <c r="E22" s="700"/>
      <c r="F22" s="700"/>
      <c r="G22" s="700"/>
      <c r="H22" s="700"/>
      <c r="I22" s="700"/>
      <c r="J22" s="700"/>
      <c r="K22" s="700"/>
      <c r="L22" s="700"/>
      <c r="M22" s="700"/>
      <c r="N22" s="700"/>
      <c r="O22" s="700"/>
      <c r="P22" s="700"/>
      <c r="Q22" s="700"/>
      <c r="R22" s="700"/>
    </row>
    <row r="24" spans="1:22" ht="45" x14ac:dyDescent="0.25">
      <c r="A24" s="148" t="s">
        <v>1161</v>
      </c>
      <c r="B24" s="149" t="s">
        <v>1129</v>
      </c>
      <c r="C24" s="149" t="s">
        <v>1130</v>
      </c>
      <c r="D24" s="149" t="s">
        <v>1131</v>
      </c>
      <c r="E24" s="150" t="s">
        <v>1132</v>
      </c>
      <c r="F24" s="152" t="s">
        <v>1162</v>
      </c>
      <c r="G24" s="152" t="s">
        <v>1163</v>
      </c>
      <c r="H24" s="150" t="s">
        <v>1164</v>
      </c>
      <c r="I24" s="150" t="s">
        <v>1165</v>
      </c>
      <c r="J24" s="150" t="s">
        <v>1166</v>
      </c>
      <c r="K24" s="150" t="s">
        <v>1167</v>
      </c>
      <c r="L24" s="150" t="s">
        <v>1168</v>
      </c>
      <c r="M24" s="150" t="s">
        <v>1169</v>
      </c>
      <c r="N24" s="150" t="s">
        <v>1170</v>
      </c>
      <c r="O24" s="150" t="s">
        <v>1171</v>
      </c>
      <c r="P24" s="150" t="s">
        <v>1172</v>
      </c>
      <c r="Q24" s="150" t="s">
        <v>1150</v>
      </c>
      <c r="R24" s="150" t="s">
        <v>1173</v>
      </c>
      <c r="S24" s="150" t="s">
        <v>1174</v>
      </c>
      <c r="T24" s="150" t="s">
        <v>1175</v>
      </c>
      <c r="U24" s="150" t="s">
        <v>1151</v>
      </c>
      <c r="V24" s="150" t="s">
        <v>1136</v>
      </c>
    </row>
    <row r="25" spans="1:22" x14ac:dyDescent="0.25">
      <c r="B25" s="79" t="s">
        <v>1646</v>
      </c>
      <c r="C25" s="79" t="s">
        <v>1137</v>
      </c>
      <c r="D25" s="79" t="s">
        <v>1176</v>
      </c>
      <c r="E25" s="700"/>
      <c r="F25" s="701"/>
      <c r="G25" s="701"/>
      <c r="H25" s="700"/>
      <c r="I25" s="701"/>
      <c r="J25" s="701"/>
      <c r="K25" s="701"/>
      <c r="L25" s="701"/>
      <c r="M25" s="701"/>
      <c r="N25" s="701"/>
      <c r="O25" s="701"/>
      <c r="P25" s="701"/>
      <c r="Q25" s="701"/>
      <c r="R25" s="701"/>
      <c r="S25" s="701"/>
      <c r="T25" s="701"/>
      <c r="U25" s="701"/>
      <c r="V25" s="700"/>
    </row>
    <row r="26" spans="1:22" x14ac:dyDescent="0.25">
      <c r="B26" s="79" t="s">
        <v>1646</v>
      </c>
      <c r="C26" s="79" t="s">
        <v>1137</v>
      </c>
      <c r="D26" s="79" t="s">
        <v>1177</v>
      </c>
      <c r="E26" s="700"/>
      <c r="F26" s="701"/>
      <c r="G26" s="701"/>
      <c r="H26" s="700"/>
      <c r="I26" s="701"/>
      <c r="J26" s="701"/>
      <c r="K26" s="701"/>
      <c r="L26" s="701"/>
      <c r="M26" s="701"/>
      <c r="N26" s="701"/>
      <c r="O26" s="701"/>
      <c r="P26" s="701"/>
      <c r="Q26" s="701"/>
      <c r="R26" s="701"/>
      <c r="S26" s="701"/>
      <c r="T26" s="701"/>
      <c r="U26" s="701"/>
      <c r="V26" s="700"/>
    </row>
    <row r="27" spans="1:22" s="153" customFormat="1" x14ac:dyDescent="0.25">
      <c r="B27" s="153" t="s">
        <v>1646</v>
      </c>
      <c r="C27" s="79" t="s">
        <v>1137</v>
      </c>
      <c r="D27" s="79" t="s">
        <v>1178</v>
      </c>
      <c r="E27" s="702"/>
      <c r="F27" s="703"/>
      <c r="G27" s="703"/>
      <c r="H27" s="702"/>
      <c r="I27" s="703"/>
      <c r="J27" s="703"/>
      <c r="K27" s="703"/>
      <c r="L27" s="703"/>
      <c r="M27" s="703"/>
      <c r="N27" s="703"/>
      <c r="O27" s="703"/>
      <c r="P27" s="703"/>
      <c r="Q27" s="703"/>
      <c r="R27" s="703"/>
      <c r="S27" s="703"/>
      <c r="T27" s="703"/>
      <c r="U27" s="703"/>
      <c r="V27" s="702"/>
    </row>
    <row r="28" spans="1:22" s="153" customFormat="1" x14ac:dyDescent="0.25">
      <c r="B28" s="153" t="s">
        <v>1646</v>
      </c>
      <c r="C28" s="79" t="s">
        <v>1137</v>
      </c>
      <c r="D28" s="79" t="s">
        <v>1205</v>
      </c>
      <c r="E28" s="702"/>
      <c r="F28" s="703"/>
      <c r="G28" s="703"/>
      <c r="H28" s="702"/>
      <c r="I28" s="703"/>
      <c r="J28" s="703"/>
      <c r="K28" s="703"/>
      <c r="L28" s="703"/>
      <c r="M28" s="703"/>
      <c r="N28" s="703"/>
      <c r="O28" s="703"/>
      <c r="P28" s="703"/>
      <c r="Q28" s="703"/>
      <c r="R28" s="703"/>
      <c r="S28" s="703"/>
      <c r="T28" s="703"/>
      <c r="U28" s="703"/>
      <c r="V28" s="702"/>
    </row>
    <row r="29" spans="1:22" s="153" customFormat="1" x14ac:dyDescent="0.25">
      <c r="B29" s="153" t="s">
        <v>1646</v>
      </c>
      <c r="C29" s="79" t="s">
        <v>1137</v>
      </c>
      <c r="D29" s="79" t="s">
        <v>1207</v>
      </c>
      <c r="E29" s="702"/>
      <c r="F29" s="703"/>
      <c r="G29" s="703"/>
      <c r="H29" s="702"/>
      <c r="I29" s="703"/>
      <c r="J29" s="703"/>
      <c r="K29" s="703"/>
      <c r="L29" s="703"/>
      <c r="M29" s="703"/>
      <c r="N29" s="703"/>
      <c r="O29" s="703"/>
      <c r="P29" s="703"/>
      <c r="Q29" s="703"/>
      <c r="R29" s="703"/>
      <c r="S29" s="703"/>
      <c r="T29" s="703"/>
      <c r="U29" s="703"/>
      <c r="V29" s="702"/>
    </row>
    <row r="30" spans="1:22" x14ac:dyDescent="0.25">
      <c r="E30" s="700"/>
      <c r="F30" s="701"/>
      <c r="G30" s="701"/>
      <c r="H30" s="700"/>
      <c r="I30" s="701"/>
      <c r="J30" s="701"/>
      <c r="K30" s="701"/>
      <c r="L30" s="701"/>
      <c r="M30" s="701"/>
      <c r="N30" s="701"/>
      <c r="O30" s="701"/>
      <c r="P30" s="701"/>
      <c r="Q30" s="701"/>
      <c r="R30" s="701"/>
      <c r="S30" s="701"/>
      <c r="T30" s="701"/>
      <c r="U30" s="701"/>
      <c r="V30" s="700"/>
    </row>
    <row r="31" spans="1:22" ht="30" x14ac:dyDescent="0.25">
      <c r="A31" s="148" t="s">
        <v>1179</v>
      </c>
      <c r="B31" s="149" t="s">
        <v>1129</v>
      </c>
      <c r="C31" s="149" t="s">
        <v>1130</v>
      </c>
      <c r="D31" s="149" t="s">
        <v>1131</v>
      </c>
      <c r="E31" s="150" t="s">
        <v>1132</v>
      </c>
      <c r="F31" s="150" t="s">
        <v>1180</v>
      </c>
      <c r="G31" s="150" t="s">
        <v>1135</v>
      </c>
      <c r="H31" s="150" t="s">
        <v>1136</v>
      </c>
    </row>
    <row r="32" spans="1:22" x14ac:dyDescent="0.25">
      <c r="B32" s="800" t="s">
        <v>1646</v>
      </c>
      <c r="C32" s="800" t="s">
        <v>1137</v>
      </c>
      <c r="D32" s="800" t="s">
        <v>1181</v>
      </c>
      <c r="E32" s="701"/>
      <c r="F32" s="701"/>
      <c r="G32" s="701"/>
      <c r="H32" s="700"/>
    </row>
    <row r="33" spans="2:8" x14ac:dyDescent="0.25">
      <c r="B33" s="800" t="s">
        <v>1646</v>
      </c>
      <c r="C33" s="800" t="s">
        <v>1137</v>
      </c>
      <c r="D33" s="800" t="s">
        <v>1201</v>
      </c>
      <c r="E33" s="700"/>
      <c r="F33" s="701"/>
      <c r="G33" s="700"/>
      <c r="H33" s="700"/>
    </row>
    <row r="34" spans="2:8" x14ac:dyDescent="0.25">
      <c r="B34" s="800" t="s">
        <v>1646</v>
      </c>
      <c r="C34" s="800" t="s">
        <v>1137</v>
      </c>
      <c r="D34" s="800" t="s">
        <v>1202</v>
      </c>
      <c r="E34" s="700"/>
      <c r="F34" s="700"/>
      <c r="G34" s="700"/>
      <c r="H34" s="700"/>
    </row>
    <row r="35" spans="2:8" x14ac:dyDescent="0.25">
      <c r="B35" s="800"/>
      <c r="C35" s="800"/>
      <c r="D35" s="800"/>
      <c r="E35" s="700"/>
      <c r="F35" s="700"/>
      <c r="G35" s="700"/>
      <c r="H35" s="700"/>
    </row>
  </sheetData>
  <mergeCells count="1">
    <mergeCell ref="B3:F3"/>
  </mergeCells>
  <phoneticPr fontId="8" type="noConversion"/>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2FBE1-4D9E-410A-AD35-D1DE8D5AF5D4}">
  <sheetPr>
    <tabColor theme="8" tint="-0.249977111117893"/>
  </sheetPr>
  <dimension ref="A1:V35"/>
  <sheetViews>
    <sheetView topLeftCell="A6" workbookViewId="0">
      <selection activeCell="J7" sqref="J7"/>
    </sheetView>
  </sheetViews>
  <sheetFormatPr baseColWidth="10" defaultColWidth="10.7109375" defaultRowHeight="15" x14ac:dyDescent="0.25"/>
  <cols>
    <col min="1" max="1" width="17" style="59" customWidth="1"/>
    <col min="2" max="6" width="10.7109375" style="59"/>
    <col min="7" max="7" width="15.7109375" style="59" customWidth="1"/>
    <col min="8" max="8" width="16.42578125" style="59" customWidth="1"/>
    <col min="9" max="16384" width="10.7109375" style="59"/>
  </cols>
  <sheetData>
    <row r="1" spans="1:18" ht="21" x14ac:dyDescent="0.35">
      <c r="A1" s="154" t="s">
        <v>1182</v>
      </c>
    </row>
    <row r="2" spans="1:18" ht="21.75" thickBot="1" x14ac:dyDescent="0.4">
      <c r="A2" s="154"/>
    </row>
    <row r="3" spans="1:18" ht="15.75" thickBot="1" x14ac:dyDescent="0.3">
      <c r="A3" s="155" t="s">
        <v>1127</v>
      </c>
      <c r="B3" s="1066"/>
      <c r="C3" s="1067"/>
      <c r="D3" s="1067"/>
      <c r="E3" s="1067"/>
      <c r="F3" s="1068"/>
    </row>
    <row r="5" spans="1:18" x14ac:dyDescent="0.25">
      <c r="A5" s="155" t="s">
        <v>1128</v>
      </c>
      <c r="B5" s="156" t="s">
        <v>1129</v>
      </c>
      <c r="C5" s="156" t="s">
        <v>1130</v>
      </c>
      <c r="D5" s="156" t="s">
        <v>1131</v>
      </c>
      <c r="E5" s="157" t="s">
        <v>1132</v>
      </c>
      <c r="F5" s="157" t="s">
        <v>1133</v>
      </c>
      <c r="G5" s="157" t="s">
        <v>1134</v>
      </c>
      <c r="H5" s="157" t="s">
        <v>1135</v>
      </c>
      <c r="I5" s="157" t="s">
        <v>1136</v>
      </c>
    </row>
    <row r="6" spans="1:18" x14ac:dyDescent="0.25">
      <c r="B6" s="164" t="s">
        <v>1646</v>
      </c>
      <c r="C6" s="59" t="s">
        <v>1183</v>
      </c>
      <c r="D6" s="59" t="s">
        <v>1138</v>
      </c>
      <c r="E6" s="704"/>
      <c r="F6" s="704"/>
      <c r="G6" s="704"/>
      <c r="H6" s="704"/>
      <c r="I6" s="704"/>
    </row>
    <row r="7" spans="1:18" x14ac:dyDescent="0.25">
      <c r="B7" s="164" t="s">
        <v>1646</v>
      </c>
      <c r="C7" s="59" t="s">
        <v>1183</v>
      </c>
      <c r="D7" s="59" t="s">
        <v>1139</v>
      </c>
      <c r="E7" s="704"/>
      <c r="F7" s="704"/>
      <c r="G7" s="704"/>
      <c r="H7" s="704"/>
      <c r="I7" s="704"/>
    </row>
    <row r="8" spans="1:18" x14ac:dyDescent="0.25">
      <c r="B8" s="164" t="s">
        <v>1646</v>
      </c>
      <c r="C8" s="59" t="s">
        <v>1183</v>
      </c>
      <c r="D8" s="59" t="s">
        <v>1194</v>
      </c>
      <c r="E8" s="704"/>
      <c r="F8" s="704"/>
      <c r="G8" s="704"/>
      <c r="H8" s="704"/>
      <c r="I8" s="704"/>
    </row>
    <row r="11" spans="1:18" ht="60" x14ac:dyDescent="0.25">
      <c r="A11" s="155" t="s">
        <v>1140</v>
      </c>
      <c r="B11" s="156" t="s">
        <v>1129</v>
      </c>
      <c r="C11" s="156" t="s">
        <v>1130</v>
      </c>
      <c r="D11" s="156" t="s">
        <v>1131</v>
      </c>
      <c r="E11" s="150" t="s">
        <v>1132</v>
      </c>
      <c r="F11" s="150" t="s">
        <v>1141</v>
      </c>
      <c r="G11" s="150" t="s">
        <v>1142</v>
      </c>
      <c r="H11" s="150" t="s">
        <v>1143</v>
      </c>
      <c r="I11" s="150" t="s">
        <v>1144</v>
      </c>
      <c r="J11" s="150" t="s">
        <v>1145</v>
      </c>
      <c r="K11" s="150" t="s">
        <v>1146</v>
      </c>
      <c r="L11" s="150" t="s">
        <v>1147</v>
      </c>
      <c r="M11" s="150" t="s">
        <v>1148</v>
      </c>
      <c r="N11" s="150" t="s">
        <v>1149</v>
      </c>
      <c r="O11" s="150" t="s">
        <v>1150</v>
      </c>
      <c r="P11" s="150" t="s">
        <v>1151</v>
      </c>
      <c r="Q11" s="150" t="s">
        <v>1152</v>
      </c>
      <c r="R11" s="157" t="s">
        <v>1136</v>
      </c>
    </row>
    <row r="12" spans="1:18" x14ac:dyDescent="0.25">
      <c r="B12" s="59" t="s">
        <v>1646</v>
      </c>
      <c r="C12" s="59" t="s">
        <v>1183</v>
      </c>
      <c r="D12" s="59" t="s">
        <v>1153</v>
      </c>
      <c r="E12" s="705"/>
      <c r="F12" s="705"/>
      <c r="G12" s="705"/>
      <c r="H12" s="705"/>
      <c r="I12" s="705"/>
      <c r="J12" s="705"/>
      <c r="K12" s="705"/>
      <c r="L12" s="705"/>
      <c r="M12" s="705"/>
      <c r="N12" s="705"/>
      <c r="O12" s="705"/>
      <c r="P12" s="705"/>
      <c r="Q12" s="705"/>
      <c r="R12" s="704"/>
    </row>
    <row r="13" spans="1:18" x14ac:dyDescent="0.25">
      <c r="B13" s="59" t="s">
        <v>1646</v>
      </c>
      <c r="C13" s="59" t="s">
        <v>1183</v>
      </c>
      <c r="D13" s="59" t="s">
        <v>1195</v>
      </c>
      <c r="E13" s="705"/>
      <c r="F13" s="705"/>
      <c r="G13" s="705"/>
      <c r="H13" s="705"/>
      <c r="I13" s="705"/>
      <c r="J13" s="705"/>
      <c r="K13" s="705"/>
      <c r="L13" s="705"/>
      <c r="M13" s="705"/>
      <c r="N13" s="705"/>
      <c r="O13" s="705"/>
      <c r="P13" s="705"/>
      <c r="Q13" s="705"/>
      <c r="R13" s="704"/>
    </row>
    <row r="14" spans="1:18" x14ac:dyDescent="0.25">
      <c r="B14" s="59" t="s">
        <v>1646</v>
      </c>
      <c r="C14" s="59" t="s">
        <v>1183</v>
      </c>
      <c r="D14" s="59" t="s">
        <v>1196</v>
      </c>
      <c r="E14" s="705"/>
      <c r="F14" s="705"/>
      <c r="G14" s="705"/>
      <c r="H14" s="705"/>
      <c r="I14" s="705"/>
      <c r="J14" s="705"/>
      <c r="K14" s="705"/>
      <c r="L14" s="705"/>
      <c r="M14" s="705"/>
      <c r="N14" s="705"/>
      <c r="O14" s="705"/>
      <c r="P14" s="705"/>
      <c r="Q14" s="705"/>
      <c r="R14" s="704"/>
    </row>
    <row r="15" spans="1:18" x14ac:dyDescent="0.25">
      <c r="B15" s="59" t="s">
        <v>1646</v>
      </c>
      <c r="C15" s="59" t="s">
        <v>1183</v>
      </c>
      <c r="D15" s="59" t="s">
        <v>1197</v>
      </c>
      <c r="E15" s="705"/>
      <c r="F15" s="705"/>
      <c r="G15" s="705"/>
      <c r="H15" s="705"/>
      <c r="I15" s="705"/>
      <c r="J15" s="705"/>
      <c r="K15" s="705"/>
      <c r="L15" s="705"/>
      <c r="M15" s="705"/>
      <c r="N15" s="705"/>
      <c r="O15" s="705"/>
      <c r="P15" s="705"/>
      <c r="Q15" s="705"/>
      <c r="R15" s="704"/>
    </row>
    <row r="16" spans="1:18" x14ac:dyDescent="0.25">
      <c r="B16" s="59" t="s">
        <v>1646</v>
      </c>
      <c r="C16" s="59" t="s">
        <v>1183</v>
      </c>
      <c r="D16" s="59" t="s">
        <v>1203</v>
      </c>
      <c r="E16" s="704"/>
      <c r="F16" s="704"/>
      <c r="G16" s="704"/>
      <c r="H16" s="704"/>
      <c r="I16" s="704"/>
      <c r="J16" s="704"/>
      <c r="K16" s="704"/>
      <c r="L16" s="704"/>
      <c r="M16" s="704"/>
      <c r="N16" s="704"/>
      <c r="O16" s="704"/>
      <c r="P16" s="704"/>
      <c r="Q16" s="704"/>
      <c r="R16" s="704"/>
    </row>
    <row r="18" spans="1:22" ht="60" x14ac:dyDescent="0.25">
      <c r="A18" s="155" t="s">
        <v>1155</v>
      </c>
      <c r="B18" s="156" t="s">
        <v>1129</v>
      </c>
      <c r="C18" s="156" t="s">
        <v>1130</v>
      </c>
      <c r="D18" s="156" t="s">
        <v>1131</v>
      </c>
      <c r="E18" s="157" t="s">
        <v>1132</v>
      </c>
      <c r="F18" s="158" t="s">
        <v>1156</v>
      </c>
      <c r="G18" s="152" t="s">
        <v>1157</v>
      </c>
      <c r="H18" s="157" t="s">
        <v>1142</v>
      </c>
      <c r="I18" s="157" t="s">
        <v>1143</v>
      </c>
      <c r="J18" s="157" t="s">
        <v>1145</v>
      </c>
      <c r="K18" s="157" t="s">
        <v>1146</v>
      </c>
      <c r="L18" s="157" t="s">
        <v>1148</v>
      </c>
      <c r="M18" s="157" t="s">
        <v>1149</v>
      </c>
      <c r="N18" s="157" t="s">
        <v>1158</v>
      </c>
      <c r="O18" s="157" t="s">
        <v>1159</v>
      </c>
      <c r="P18" s="150" t="s">
        <v>1151</v>
      </c>
      <c r="Q18" s="157" t="s">
        <v>1152</v>
      </c>
      <c r="R18" s="157" t="s">
        <v>1136</v>
      </c>
      <c r="S18" s="79"/>
      <c r="T18" s="79"/>
    </row>
    <row r="19" spans="1:22" x14ac:dyDescent="0.25">
      <c r="B19" s="59" t="s">
        <v>1646</v>
      </c>
      <c r="C19" s="59" t="s">
        <v>1183</v>
      </c>
      <c r="D19" s="59" t="s">
        <v>1160</v>
      </c>
      <c r="E19" s="705"/>
      <c r="F19" s="705"/>
      <c r="G19" s="705"/>
      <c r="H19" s="705"/>
      <c r="I19" s="705"/>
      <c r="J19" s="705"/>
      <c r="K19" s="705"/>
      <c r="L19" s="705"/>
      <c r="M19" s="705"/>
      <c r="N19" s="705"/>
      <c r="O19" s="705"/>
      <c r="P19" s="705"/>
      <c r="Q19" s="705"/>
      <c r="R19" s="705"/>
    </row>
    <row r="20" spans="1:22" x14ac:dyDescent="0.25">
      <c r="B20" s="59" t="s">
        <v>1646</v>
      </c>
      <c r="C20" s="59" t="s">
        <v>1183</v>
      </c>
      <c r="D20" s="59" t="s">
        <v>1198</v>
      </c>
      <c r="E20" s="705"/>
      <c r="F20" s="705"/>
      <c r="G20" s="705"/>
      <c r="H20" s="705"/>
      <c r="I20" s="705"/>
      <c r="J20" s="705"/>
      <c r="K20" s="705"/>
      <c r="L20" s="705"/>
      <c r="M20" s="705"/>
      <c r="N20" s="705"/>
      <c r="O20" s="705"/>
      <c r="P20" s="705"/>
      <c r="Q20" s="705"/>
      <c r="R20" s="705"/>
    </row>
    <row r="21" spans="1:22" x14ac:dyDescent="0.25">
      <c r="B21" s="59" t="s">
        <v>1646</v>
      </c>
      <c r="C21" s="59" t="s">
        <v>1183</v>
      </c>
      <c r="D21" s="59" t="s">
        <v>1199</v>
      </c>
      <c r="E21" s="705"/>
      <c r="F21" s="705"/>
      <c r="G21" s="705"/>
      <c r="H21" s="705"/>
      <c r="I21" s="705"/>
      <c r="J21" s="705"/>
      <c r="K21" s="705"/>
      <c r="L21" s="705"/>
      <c r="M21" s="705"/>
      <c r="N21" s="705"/>
      <c r="O21" s="705"/>
      <c r="P21" s="705"/>
      <c r="Q21" s="705"/>
      <c r="R21" s="705"/>
    </row>
    <row r="22" spans="1:22" x14ac:dyDescent="0.25">
      <c r="B22" s="59" t="s">
        <v>1646</v>
      </c>
      <c r="C22" s="59" t="s">
        <v>1183</v>
      </c>
      <c r="D22" s="59" t="s">
        <v>1200</v>
      </c>
      <c r="E22" s="705"/>
      <c r="F22" s="705"/>
      <c r="G22" s="705"/>
      <c r="H22" s="705"/>
      <c r="I22" s="705"/>
      <c r="J22" s="705"/>
      <c r="K22" s="705"/>
      <c r="L22" s="705"/>
      <c r="M22" s="705"/>
      <c r="N22" s="705"/>
      <c r="O22" s="705"/>
      <c r="P22" s="705"/>
      <c r="Q22" s="705"/>
      <c r="R22" s="705"/>
    </row>
    <row r="23" spans="1:22" x14ac:dyDescent="0.25">
      <c r="B23" s="59" t="s">
        <v>1646</v>
      </c>
      <c r="C23" s="59" t="s">
        <v>1183</v>
      </c>
      <c r="D23" s="59" t="s">
        <v>1204</v>
      </c>
      <c r="E23" s="704"/>
      <c r="F23" s="704"/>
      <c r="G23" s="704"/>
      <c r="H23" s="704"/>
      <c r="I23" s="704"/>
      <c r="J23" s="704"/>
      <c r="K23" s="704"/>
      <c r="L23" s="704"/>
      <c r="M23" s="704"/>
      <c r="N23" s="704"/>
      <c r="O23" s="704"/>
      <c r="P23" s="704"/>
      <c r="Q23" s="704"/>
      <c r="R23" s="704"/>
    </row>
    <row r="25" spans="1:22" ht="60" x14ac:dyDescent="0.25">
      <c r="A25" s="155" t="s">
        <v>1161</v>
      </c>
      <c r="B25" s="156" t="s">
        <v>1129</v>
      </c>
      <c r="C25" s="156" t="s">
        <v>1130</v>
      </c>
      <c r="D25" s="156" t="s">
        <v>1131</v>
      </c>
      <c r="E25" s="157" t="s">
        <v>1132</v>
      </c>
      <c r="F25" s="158" t="s">
        <v>1162</v>
      </c>
      <c r="G25" s="158" t="s">
        <v>1163</v>
      </c>
      <c r="H25" s="150" t="s">
        <v>1184</v>
      </c>
      <c r="I25" s="157" t="s">
        <v>1165</v>
      </c>
      <c r="J25" s="157" t="s">
        <v>1166</v>
      </c>
      <c r="K25" s="150" t="s">
        <v>1167</v>
      </c>
      <c r="L25" s="157" t="s">
        <v>1168</v>
      </c>
      <c r="M25" s="157" t="s">
        <v>1169</v>
      </c>
      <c r="N25" s="150" t="s">
        <v>1170</v>
      </c>
      <c r="O25" s="157" t="s">
        <v>1171</v>
      </c>
      <c r="P25" s="157" t="s">
        <v>1172</v>
      </c>
      <c r="Q25" s="150" t="s">
        <v>1150</v>
      </c>
      <c r="R25" s="157" t="s">
        <v>1173</v>
      </c>
      <c r="S25" s="157" t="s">
        <v>1174</v>
      </c>
      <c r="T25" s="150" t="s">
        <v>1175</v>
      </c>
      <c r="U25" s="150" t="s">
        <v>1151</v>
      </c>
      <c r="V25" s="157" t="s">
        <v>1136</v>
      </c>
    </row>
    <row r="26" spans="1:22" x14ac:dyDescent="0.25">
      <c r="B26" s="59" t="s">
        <v>1646</v>
      </c>
      <c r="C26" s="59" t="s">
        <v>1183</v>
      </c>
      <c r="D26" s="59" t="s">
        <v>1176</v>
      </c>
      <c r="E26" s="704"/>
      <c r="F26" s="705"/>
      <c r="G26" s="705"/>
      <c r="H26" s="704"/>
      <c r="I26" s="705"/>
      <c r="J26" s="705"/>
      <c r="K26" s="705"/>
      <c r="L26" s="705"/>
      <c r="M26" s="705"/>
      <c r="N26" s="705"/>
      <c r="O26" s="705"/>
      <c r="P26" s="705"/>
      <c r="Q26" s="705"/>
      <c r="R26" s="705"/>
      <c r="S26" s="705"/>
      <c r="T26" s="705"/>
      <c r="U26" s="705"/>
      <c r="V26" s="704"/>
    </row>
    <row r="27" spans="1:22" x14ac:dyDescent="0.25">
      <c r="B27" s="59" t="s">
        <v>1646</v>
      </c>
      <c r="C27" s="59" t="s">
        <v>1183</v>
      </c>
      <c r="D27" s="59" t="s">
        <v>1177</v>
      </c>
      <c r="E27" s="704"/>
      <c r="F27" s="705"/>
      <c r="G27" s="705"/>
      <c r="H27" s="704"/>
      <c r="I27" s="705"/>
      <c r="J27" s="705"/>
      <c r="K27" s="705"/>
      <c r="L27" s="705"/>
      <c r="M27" s="705"/>
      <c r="N27" s="705"/>
      <c r="O27" s="705"/>
      <c r="P27" s="705"/>
      <c r="Q27" s="705"/>
      <c r="R27" s="705"/>
      <c r="S27" s="705"/>
      <c r="T27" s="705"/>
      <c r="U27" s="705"/>
      <c r="V27" s="704"/>
    </row>
    <row r="28" spans="1:22" x14ac:dyDescent="0.25">
      <c r="B28" s="59" t="s">
        <v>1646</v>
      </c>
      <c r="C28" s="59" t="s">
        <v>1183</v>
      </c>
      <c r="D28" s="59" t="s">
        <v>1178</v>
      </c>
      <c r="E28" s="704"/>
      <c r="F28" s="705"/>
      <c r="G28" s="705"/>
      <c r="H28" s="704"/>
      <c r="I28" s="705"/>
      <c r="J28" s="705"/>
      <c r="K28" s="705"/>
      <c r="L28" s="705"/>
      <c r="M28" s="705"/>
      <c r="N28" s="705"/>
      <c r="O28" s="705"/>
      <c r="P28" s="705"/>
      <c r="Q28" s="705"/>
      <c r="R28" s="705"/>
      <c r="S28" s="705"/>
      <c r="T28" s="705"/>
      <c r="U28" s="705"/>
      <c r="V28" s="704"/>
    </row>
    <row r="29" spans="1:22" x14ac:dyDescent="0.25">
      <c r="B29" s="59" t="s">
        <v>1646</v>
      </c>
      <c r="C29" s="59" t="s">
        <v>1183</v>
      </c>
      <c r="D29" s="59" t="s">
        <v>1205</v>
      </c>
      <c r="E29" s="704"/>
      <c r="F29" s="705"/>
      <c r="G29" s="705"/>
      <c r="H29" s="704"/>
      <c r="I29" s="705"/>
      <c r="J29" s="705"/>
      <c r="K29" s="705"/>
      <c r="L29" s="705"/>
      <c r="M29" s="705"/>
      <c r="N29" s="705"/>
      <c r="O29" s="705"/>
      <c r="P29" s="705"/>
      <c r="Q29" s="705"/>
      <c r="R29" s="705"/>
      <c r="S29" s="705"/>
      <c r="T29" s="705"/>
      <c r="U29" s="705"/>
      <c r="V29" s="704"/>
    </row>
    <row r="31" spans="1:22" x14ac:dyDescent="0.25">
      <c r="A31" s="155" t="s">
        <v>1179</v>
      </c>
      <c r="B31" s="156" t="s">
        <v>1129</v>
      </c>
      <c r="C31" s="156" t="s">
        <v>1130</v>
      </c>
      <c r="D31" s="156" t="s">
        <v>1131</v>
      </c>
      <c r="E31" s="157" t="s">
        <v>1132</v>
      </c>
      <c r="F31" s="157" t="s">
        <v>1180</v>
      </c>
      <c r="G31" s="157" t="s">
        <v>1135</v>
      </c>
      <c r="H31" s="157" t="s">
        <v>1136</v>
      </c>
    </row>
    <row r="32" spans="1:22" x14ac:dyDescent="0.25">
      <c r="B32" s="59" t="s">
        <v>1646</v>
      </c>
      <c r="C32" s="59" t="s">
        <v>1183</v>
      </c>
      <c r="D32" s="59" t="s">
        <v>1181</v>
      </c>
      <c r="E32" s="705" t="s">
        <v>1643</v>
      </c>
      <c r="F32" s="705" t="s">
        <v>1644</v>
      </c>
      <c r="G32" s="705">
        <v>1444.4</v>
      </c>
      <c r="H32" s="704"/>
    </row>
    <row r="33" spans="2:8" x14ac:dyDescent="0.25">
      <c r="B33" s="59" t="s">
        <v>1646</v>
      </c>
      <c r="C33" s="59" t="s">
        <v>1183</v>
      </c>
      <c r="D33" s="59" t="s">
        <v>1201</v>
      </c>
      <c r="E33" s="704" t="s">
        <v>1645</v>
      </c>
      <c r="F33" s="704" t="s">
        <v>1644</v>
      </c>
      <c r="G33" s="704">
        <v>129.25</v>
      </c>
      <c r="H33" s="704"/>
    </row>
    <row r="34" spans="2:8" x14ac:dyDescent="0.25">
      <c r="B34" s="59" t="s">
        <v>1646</v>
      </c>
      <c r="C34" s="59" t="s">
        <v>1183</v>
      </c>
      <c r="D34" s="59" t="s">
        <v>1202</v>
      </c>
      <c r="E34" s="704" t="s">
        <v>1642</v>
      </c>
      <c r="F34" s="704" t="s">
        <v>1644</v>
      </c>
      <c r="G34" s="704">
        <v>877.35</v>
      </c>
      <c r="H34" s="704"/>
    </row>
    <row r="35" spans="2:8" x14ac:dyDescent="0.25">
      <c r="B35" s="59" t="s">
        <v>1646</v>
      </c>
      <c r="C35" s="59" t="s">
        <v>1183</v>
      </c>
      <c r="D35" s="59" t="s">
        <v>1206</v>
      </c>
      <c r="E35" s="704"/>
      <c r="F35" s="704"/>
      <c r="G35" s="704"/>
      <c r="H35" s="704"/>
    </row>
  </sheetData>
  <mergeCells count="1">
    <mergeCell ref="B3:F3"/>
  </mergeCells>
  <phoneticPr fontId="8" type="noConversion"/>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46AC5-7BF4-4140-BDB3-849CC0FDB14F}">
  <sheetPr>
    <tabColor theme="8" tint="-0.249977111117893"/>
  </sheetPr>
  <dimension ref="A1:V36"/>
  <sheetViews>
    <sheetView workbookViewId="0">
      <selection activeCell="B3" sqref="B3:F3"/>
    </sheetView>
  </sheetViews>
  <sheetFormatPr baseColWidth="10" defaultColWidth="10.7109375" defaultRowHeight="15" x14ac:dyDescent="0.25"/>
  <cols>
    <col min="1" max="1" width="17" style="59" customWidth="1"/>
    <col min="2" max="6" width="10.7109375" style="59"/>
    <col min="7" max="7" width="13.140625" style="59" customWidth="1"/>
    <col min="8" max="8" width="16.42578125" style="59" customWidth="1"/>
    <col min="9" max="16384" width="10.7109375" style="59"/>
  </cols>
  <sheetData>
    <row r="1" spans="1:18" ht="21" x14ac:dyDescent="0.35">
      <c r="A1" s="154" t="s">
        <v>1185</v>
      </c>
    </row>
    <row r="2" spans="1:18" ht="21.75" thickBot="1" x14ac:dyDescent="0.4">
      <c r="A2" s="154"/>
    </row>
    <row r="3" spans="1:18" ht="15.75" thickBot="1" x14ac:dyDescent="0.3">
      <c r="A3" s="155" t="s">
        <v>1127</v>
      </c>
      <c r="B3" s="1066"/>
      <c r="C3" s="1067"/>
      <c r="D3" s="1067"/>
      <c r="E3" s="1067"/>
      <c r="F3" s="1068"/>
    </row>
    <row r="5" spans="1:18" x14ac:dyDescent="0.25">
      <c r="A5" s="155" t="s">
        <v>1128</v>
      </c>
      <c r="B5" s="156" t="s">
        <v>1129</v>
      </c>
      <c r="C5" s="156" t="s">
        <v>1130</v>
      </c>
      <c r="D5" s="156" t="s">
        <v>1131</v>
      </c>
      <c r="E5" s="157" t="s">
        <v>1132</v>
      </c>
      <c r="F5" s="157" t="s">
        <v>1133</v>
      </c>
      <c r="G5" s="157" t="s">
        <v>1134</v>
      </c>
      <c r="H5" s="157" t="s">
        <v>1135</v>
      </c>
      <c r="I5" s="157" t="s">
        <v>1136</v>
      </c>
    </row>
    <row r="6" spans="1:18" x14ac:dyDescent="0.25">
      <c r="B6" s="164" t="s">
        <v>1646</v>
      </c>
      <c r="C6" s="59" t="s">
        <v>1186</v>
      </c>
      <c r="D6" s="59" t="s">
        <v>1138</v>
      </c>
      <c r="E6" s="704"/>
      <c r="F6" s="704"/>
      <c r="G6" s="704"/>
      <c r="H6" s="704"/>
      <c r="I6" s="704"/>
    </row>
    <row r="7" spans="1:18" x14ac:dyDescent="0.25">
      <c r="B7" s="164" t="s">
        <v>1646</v>
      </c>
      <c r="C7" s="59" t="s">
        <v>1186</v>
      </c>
      <c r="D7" s="59" t="s">
        <v>1139</v>
      </c>
      <c r="E7" s="704"/>
      <c r="F7" s="704"/>
      <c r="G7" s="704"/>
      <c r="H7" s="704"/>
      <c r="I7" s="704"/>
    </row>
    <row r="8" spans="1:18" x14ac:dyDescent="0.25">
      <c r="B8" s="164" t="s">
        <v>1646</v>
      </c>
      <c r="C8" s="59" t="s">
        <v>1186</v>
      </c>
      <c r="D8" s="59" t="s">
        <v>1194</v>
      </c>
      <c r="E8" s="704"/>
      <c r="F8" s="704"/>
      <c r="G8" s="704"/>
      <c r="H8" s="704"/>
      <c r="I8" s="704"/>
    </row>
    <row r="10" spans="1:18" ht="60" x14ac:dyDescent="0.25">
      <c r="A10" s="155" t="s">
        <v>1140</v>
      </c>
      <c r="B10" s="156" t="s">
        <v>1129</v>
      </c>
      <c r="C10" s="156" t="s">
        <v>1130</v>
      </c>
      <c r="D10" s="156" t="s">
        <v>1131</v>
      </c>
      <c r="E10" s="150" t="s">
        <v>1132</v>
      </c>
      <c r="F10" s="150" t="s">
        <v>1141</v>
      </c>
      <c r="G10" s="150" t="s">
        <v>1142</v>
      </c>
      <c r="H10" s="150" t="s">
        <v>1143</v>
      </c>
      <c r="I10" s="150" t="s">
        <v>1144</v>
      </c>
      <c r="J10" s="150" t="s">
        <v>1145</v>
      </c>
      <c r="K10" s="150" t="s">
        <v>1146</v>
      </c>
      <c r="L10" s="150" t="s">
        <v>1147</v>
      </c>
      <c r="M10" s="150" t="s">
        <v>1148</v>
      </c>
      <c r="N10" s="150" t="s">
        <v>1149</v>
      </c>
      <c r="O10" s="150" t="s">
        <v>1150</v>
      </c>
      <c r="P10" s="150" t="s">
        <v>1151</v>
      </c>
      <c r="Q10" s="150" t="s">
        <v>1152</v>
      </c>
      <c r="R10" s="157" t="s">
        <v>1136</v>
      </c>
    </row>
    <row r="11" spans="1:18" x14ac:dyDescent="0.25">
      <c r="B11" s="59" t="s">
        <v>1646</v>
      </c>
      <c r="C11" s="59" t="s">
        <v>1186</v>
      </c>
      <c r="D11" s="59" t="s">
        <v>1153</v>
      </c>
      <c r="E11" s="705"/>
      <c r="F11" s="705"/>
      <c r="G11" s="705"/>
      <c r="H11" s="705"/>
      <c r="I11" s="705"/>
      <c r="J11" s="705"/>
      <c r="K11" s="705"/>
      <c r="L11" s="705"/>
      <c r="M11" s="705"/>
      <c r="N11" s="705"/>
      <c r="O11" s="705"/>
      <c r="P11" s="705"/>
      <c r="Q11" s="705"/>
      <c r="R11" s="704"/>
    </row>
    <row r="12" spans="1:18" x14ac:dyDescent="0.25">
      <c r="B12" s="59" t="s">
        <v>1646</v>
      </c>
      <c r="C12" s="59" t="s">
        <v>1186</v>
      </c>
      <c r="D12" s="59" t="s">
        <v>1195</v>
      </c>
      <c r="E12" s="705"/>
      <c r="F12" s="705"/>
      <c r="G12" s="705"/>
      <c r="H12" s="705"/>
      <c r="I12" s="705"/>
      <c r="J12" s="705"/>
      <c r="K12" s="705"/>
      <c r="L12" s="705"/>
      <c r="M12" s="705"/>
      <c r="N12" s="705"/>
      <c r="O12" s="705"/>
      <c r="P12" s="705"/>
      <c r="Q12" s="705"/>
      <c r="R12" s="704"/>
    </row>
    <row r="13" spans="1:18" x14ac:dyDescent="0.25">
      <c r="B13" s="59" t="s">
        <v>1646</v>
      </c>
      <c r="C13" s="59" t="s">
        <v>1186</v>
      </c>
      <c r="D13" s="59" t="s">
        <v>1196</v>
      </c>
      <c r="E13" s="705"/>
      <c r="F13" s="705"/>
      <c r="G13" s="705"/>
      <c r="H13" s="705"/>
      <c r="I13" s="705"/>
      <c r="J13" s="705"/>
      <c r="K13" s="705"/>
      <c r="L13" s="705"/>
      <c r="M13" s="705"/>
      <c r="N13" s="705"/>
      <c r="O13" s="705"/>
      <c r="P13" s="705"/>
      <c r="Q13" s="705"/>
      <c r="R13" s="704"/>
    </row>
    <row r="14" spans="1:18" x14ac:dyDescent="0.25">
      <c r="B14" s="59" t="s">
        <v>1646</v>
      </c>
      <c r="C14" s="59" t="s">
        <v>1186</v>
      </c>
      <c r="D14" s="59" t="s">
        <v>1197</v>
      </c>
      <c r="E14" s="705"/>
      <c r="F14" s="705"/>
      <c r="G14" s="705"/>
      <c r="H14" s="705"/>
      <c r="I14" s="705"/>
      <c r="J14" s="705"/>
      <c r="K14" s="705"/>
      <c r="L14" s="705"/>
      <c r="M14" s="705"/>
      <c r="N14" s="705"/>
      <c r="O14" s="705"/>
      <c r="P14" s="705"/>
      <c r="Q14" s="705"/>
      <c r="R14" s="704"/>
    </row>
    <row r="15" spans="1:18" x14ac:dyDescent="0.25">
      <c r="B15" s="59" t="s">
        <v>1646</v>
      </c>
      <c r="C15" s="59" t="s">
        <v>1186</v>
      </c>
      <c r="D15" s="59" t="s">
        <v>1203</v>
      </c>
      <c r="E15" s="704"/>
      <c r="F15" s="704"/>
      <c r="G15" s="704"/>
      <c r="H15" s="704"/>
      <c r="I15" s="704"/>
      <c r="J15" s="704"/>
      <c r="K15" s="704"/>
      <c r="L15" s="704"/>
      <c r="M15" s="704"/>
      <c r="N15" s="704"/>
      <c r="O15" s="704"/>
      <c r="P15" s="704"/>
      <c r="Q15" s="704"/>
      <c r="R15" s="704"/>
    </row>
    <row r="17" spans="1:22" ht="60" x14ac:dyDescent="0.25">
      <c r="A17" s="155" t="s">
        <v>1155</v>
      </c>
      <c r="B17" s="156" t="s">
        <v>1129</v>
      </c>
      <c r="C17" s="156" t="s">
        <v>1130</v>
      </c>
      <c r="D17" s="156" t="s">
        <v>1131</v>
      </c>
      <c r="E17" s="157" t="s">
        <v>1132</v>
      </c>
      <c r="F17" s="158" t="s">
        <v>1156</v>
      </c>
      <c r="G17" s="152" t="s">
        <v>1157</v>
      </c>
      <c r="H17" s="157" t="s">
        <v>1142</v>
      </c>
      <c r="I17" s="157" t="s">
        <v>1143</v>
      </c>
      <c r="J17" s="157" t="s">
        <v>1145</v>
      </c>
      <c r="K17" s="157" t="s">
        <v>1146</v>
      </c>
      <c r="L17" s="157" t="s">
        <v>1148</v>
      </c>
      <c r="M17" s="157" t="s">
        <v>1149</v>
      </c>
      <c r="N17" s="157" t="s">
        <v>1158</v>
      </c>
      <c r="O17" s="157" t="s">
        <v>1159</v>
      </c>
      <c r="P17" s="150" t="s">
        <v>1151</v>
      </c>
      <c r="Q17" s="157" t="s">
        <v>1152</v>
      </c>
      <c r="R17" s="157" t="s">
        <v>1136</v>
      </c>
      <c r="S17" s="79"/>
      <c r="T17" s="79"/>
    </row>
    <row r="18" spans="1:22" x14ac:dyDescent="0.25">
      <c r="B18" s="59" t="s">
        <v>1646</v>
      </c>
      <c r="C18" s="59" t="s">
        <v>1186</v>
      </c>
      <c r="D18" s="59" t="s">
        <v>1160</v>
      </c>
      <c r="E18" s="705"/>
      <c r="F18" s="705"/>
      <c r="G18" s="705"/>
      <c r="H18" s="705"/>
      <c r="I18" s="705"/>
      <c r="J18" s="705"/>
      <c r="K18" s="705"/>
      <c r="L18" s="705"/>
      <c r="M18" s="705"/>
      <c r="N18" s="705"/>
      <c r="O18" s="705"/>
      <c r="P18" s="705"/>
      <c r="Q18" s="705"/>
      <c r="R18" s="705"/>
    </row>
    <row r="19" spans="1:22" x14ac:dyDescent="0.25">
      <c r="B19" s="59" t="s">
        <v>1646</v>
      </c>
      <c r="C19" s="59" t="s">
        <v>1186</v>
      </c>
      <c r="D19" s="59" t="s">
        <v>1198</v>
      </c>
      <c r="E19" s="705"/>
      <c r="F19" s="705"/>
      <c r="G19" s="705"/>
      <c r="H19" s="705"/>
      <c r="I19" s="705"/>
      <c r="J19" s="705"/>
      <c r="K19" s="705"/>
      <c r="L19" s="705"/>
      <c r="M19" s="705"/>
      <c r="N19" s="705"/>
      <c r="O19" s="705"/>
      <c r="P19" s="705"/>
      <c r="Q19" s="705"/>
      <c r="R19" s="705"/>
    </row>
    <row r="20" spans="1:22" x14ac:dyDescent="0.25">
      <c r="B20" s="59" t="s">
        <v>1646</v>
      </c>
      <c r="C20" s="59" t="s">
        <v>1186</v>
      </c>
      <c r="D20" s="59" t="s">
        <v>1199</v>
      </c>
      <c r="E20" s="705"/>
      <c r="F20" s="705"/>
      <c r="G20" s="705"/>
      <c r="H20" s="705"/>
      <c r="I20" s="705"/>
      <c r="J20" s="705"/>
      <c r="K20" s="705"/>
      <c r="L20" s="705"/>
      <c r="M20" s="705"/>
      <c r="N20" s="705"/>
      <c r="O20" s="705"/>
      <c r="P20" s="705"/>
      <c r="Q20" s="705"/>
      <c r="R20" s="705"/>
    </row>
    <row r="21" spans="1:22" x14ac:dyDescent="0.25">
      <c r="B21" s="59" t="s">
        <v>1646</v>
      </c>
      <c r="C21" s="59" t="s">
        <v>1186</v>
      </c>
      <c r="D21" s="59" t="s">
        <v>1200</v>
      </c>
      <c r="E21" s="705"/>
      <c r="F21" s="705"/>
      <c r="G21" s="705"/>
      <c r="H21" s="705"/>
      <c r="I21" s="705"/>
      <c r="J21" s="705"/>
      <c r="K21" s="705"/>
      <c r="L21" s="705"/>
      <c r="M21" s="705"/>
      <c r="N21" s="705"/>
      <c r="O21" s="705"/>
      <c r="P21" s="705"/>
      <c r="Q21" s="705"/>
      <c r="R21" s="705"/>
    </row>
    <row r="22" spans="1:22" x14ac:dyDescent="0.25">
      <c r="B22" s="59" t="s">
        <v>1646</v>
      </c>
      <c r="C22" s="59" t="s">
        <v>1186</v>
      </c>
      <c r="D22" s="59" t="s">
        <v>1204</v>
      </c>
      <c r="E22" s="704"/>
      <c r="F22" s="704"/>
      <c r="G22" s="704"/>
      <c r="H22" s="704"/>
      <c r="I22" s="704"/>
      <c r="J22" s="704"/>
      <c r="K22" s="704"/>
      <c r="L22" s="704"/>
      <c r="M22" s="704"/>
      <c r="N22" s="704"/>
      <c r="O22" s="704"/>
      <c r="P22" s="704"/>
      <c r="Q22" s="704"/>
      <c r="R22" s="704"/>
    </row>
    <row r="24" spans="1:22" ht="60" x14ac:dyDescent="0.25">
      <c r="A24" s="155" t="s">
        <v>1161</v>
      </c>
      <c r="B24" s="156" t="s">
        <v>1129</v>
      </c>
      <c r="C24" s="156" t="s">
        <v>1130</v>
      </c>
      <c r="D24" s="156" t="s">
        <v>1131</v>
      </c>
      <c r="E24" s="157" t="s">
        <v>1132</v>
      </c>
      <c r="F24" s="158" t="s">
        <v>1162</v>
      </c>
      <c r="G24" s="158" t="s">
        <v>1163</v>
      </c>
      <c r="H24" s="150" t="s">
        <v>1184</v>
      </c>
      <c r="I24" s="157" t="s">
        <v>1165</v>
      </c>
      <c r="J24" s="157" t="s">
        <v>1166</v>
      </c>
      <c r="K24" s="150" t="s">
        <v>1167</v>
      </c>
      <c r="L24" s="157" t="s">
        <v>1168</v>
      </c>
      <c r="M24" s="157" t="s">
        <v>1169</v>
      </c>
      <c r="N24" s="150" t="s">
        <v>1170</v>
      </c>
      <c r="O24" s="157" t="s">
        <v>1171</v>
      </c>
      <c r="P24" s="157" t="s">
        <v>1172</v>
      </c>
      <c r="Q24" s="150" t="s">
        <v>1150</v>
      </c>
      <c r="R24" s="157" t="s">
        <v>1173</v>
      </c>
      <c r="S24" s="157" t="s">
        <v>1174</v>
      </c>
      <c r="T24" s="150" t="s">
        <v>1175</v>
      </c>
      <c r="U24" s="150" t="s">
        <v>1151</v>
      </c>
      <c r="V24" s="157" t="s">
        <v>1136</v>
      </c>
    </row>
    <row r="25" spans="1:22" x14ac:dyDescent="0.25">
      <c r="B25" s="59" t="s">
        <v>1646</v>
      </c>
      <c r="C25" s="59" t="s">
        <v>1186</v>
      </c>
      <c r="D25" s="59" t="s">
        <v>1176</v>
      </c>
      <c r="E25" s="704"/>
      <c r="F25" s="705"/>
      <c r="G25" s="705"/>
      <c r="H25" s="704"/>
      <c r="I25" s="705"/>
      <c r="J25" s="705"/>
      <c r="K25" s="705"/>
      <c r="L25" s="705"/>
      <c r="M25" s="705"/>
      <c r="N25" s="705"/>
      <c r="O25" s="705"/>
      <c r="P25" s="705"/>
      <c r="Q25" s="705"/>
      <c r="R25" s="705"/>
      <c r="S25" s="705"/>
      <c r="T25" s="705"/>
      <c r="U25" s="705"/>
      <c r="V25" s="704"/>
    </row>
    <row r="26" spans="1:22" x14ac:dyDescent="0.25">
      <c r="B26" s="59" t="s">
        <v>1646</v>
      </c>
      <c r="C26" s="59" t="s">
        <v>1186</v>
      </c>
      <c r="D26" s="59" t="s">
        <v>1177</v>
      </c>
      <c r="E26" s="704"/>
      <c r="F26" s="705"/>
      <c r="G26" s="705"/>
      <c r="H26" s="704"/>
      <c r="I26" s="705"/>
      <c r="J26" s="705"/>
      <c r="K26" s="705"/>
      <c r="L26" s="705"/>
      <c r="M26" s="705"/>
      <c r="N26" s="705"/>
      <c r="O26" s="705"/>
      <c r="P26" s="705"/>
      <c r="Q26" s="705"/>
      <c r="R26" s="705"/>
      <c r="S26" s="705"/>
      <c r="T26" s="705"/>
      <c r="U26" s="705"/>
      <c r="V26" s="704"/>
    </row>
    <row r="27" spans="1:22" x14ac:dyDescent="0.25">
      <c r="B27" s="59" t="s">
        <v>1646</v>
      </c>
      <c r="C27" s="59" t="s">
        <v>1186</v>
      </c>
      <c r="D27" s="59" t="s">
        <v>1178</v>
      </c>
      <c r="E27" s="704"/>
      <c r="F27" s="705"/>
      <c r="G27" s="705"/>
      <c r="H27" s="704"/>
      <c r="I27" s="705"/>
      <c r="J27" s="705"/>
      <c r="K27" s="705"/>
      <c r="L27" s="705"/>
      <c r="M27" s="705"/>
      <c r="N27" s="705"/>
      <c r="O27" s="705"/>
      <c r="P27" s="705"/>
      <c r="Q27" s="705"/>
      <c r="R27" s="705"/>
      <c r="S27" s="705"/>
      <c r="T27" s="705"/>
      <c r="U27" s="705"/>
      <c r="V27" s="704"/>
    </row>
    <row r="28" spans="1:22" x14ac:dyDescent="0.25">
      <c r="B28" s="59" t="s">
        <v>1646</v>
      </c>
      <c r="C28" s="59" t="s">
        <v>1186</v>
      </c>
      <c r="D28" s="59" t="s">
        <v>1205</v>
      </c>
      <c r="E28" s="704"/>
      <c r="F28" s="705"/>
      <c r="G28" s="705"/>
      <c r="H28" s="704"/>
      <c r="I28" s="705"/>
      <c r="J28" s="705"/>
      <c r="K28" s="705"/>
      <c r="L28" s="705"/>
      <c r="M28" s="705"/>
      <c r="N28" s="705"/>
      <c r="O28" s="705"/>
      <c r="P28" s="705"/>
      <c r="Q28" s="705"/>
      <c r="R28" s="705"/>
      <c r="S28" s="705"/>
      <c r="T28" s="705"/>
      <c r="U28" s="705"/>
      <c r="V28" s="704"/>
    </row>
    <row r="29" spans="1:22" x14ac:dyDescent="0.25">
      <c r="B29" s="59" t="s">
        <v>1646</v>
      </c>
      <c r="C29" s="59" t="s">
        <v>1186</v>
      </c>
      <c r="D29" s="59" t="s">
        <v>1207</v>
      </c>
      <c r="E29" s="704"/>
      <c r="F29" s="705"/>
      <c r="G29" s="705"/>
      <c r="H29" s="704"/>
      <c r="I29" s="705"/>
      <c r="J29" s="705"/>
      <c r="K29" s="705"/>
      <c r="L29" s="705"/>
      <c r="M29" s="705"/>
      <c r="N29" s="705"/>
      <c r="O29" s="705"/>
      <c r="P29" s="705"/>
      <c r="Q29" s="705"/>
      <c r="R29" s="705"/>
      <c r="S29" s="705"/>
      <c r="T29" s="705"/>
      <c r="U29" s="705"/>
      <c r="V29" s="704"/>
    </row>
    <row r="30" spans="1:22" x14ac:dyDescent="0.25">
      <c r="B30" s="59" t="s">
        <v>1646</v>
      </c>
      <c r="C30" s="59" t="s">
        <v>1186</v>
      </c>
      <c r="D30" s="59" t="s">
        <v>1208</v>
      </c>
      <c r="E30" s="704"/>
      <c r="F30" s="705"/>
      <c r="G30" s="705"/>
      <c r="H30" s="704"/>
      <c r="I30" s="705"/>
      <c r="J30" s="705"/>
      <c r="K30" s="705"/>
      <c r="L30" s="705"/>
      <c r="M30" s="705"/>
      <c r="N30" s="705"/>
      <c r="O30" s="705"/>
      <c r="P30" s="705"/>
      <c r="Q30" s="705"/>
      <c r="R30" s="705"/>
      <c r="S30" s="705"/>
      <c r="T30" s="705"/>
      <c r="U30" s="705"/>
      <c r="V30" s="704"/>
    </row>
    <row r="32" spans="1:22" x14ac:dyDescent="0.25">
      <c r="A32" s="155" t="s">
        <v>1179</v>
      </c>
      <c r="B32" s="156" t="s">
        <v>1129</v>
      </c>
      <c r="C32" s="156" t="s">
        <v>1130</v>
      </c>
      <c r="D32" s="156" t="s">
        <v>1131</v>
      </c>
      <c r="E32" s="157" t="s">
        <v>1132</v>
      </c>
      <c r="F32" s="157" t="s">
        <v>1180</v>
      </c>
      <c r="G32" s="157" t="s">
        <v>1135</v>
      </c>
      <c r="H32" s="157" t="s">
        <v>1136</v>
      </c>
    </row>
    <row r="33" spans="2:8" x14ac:dyDescent="0.25">
      <c r="B33" s="59" t="s">
        <v>1646</v>
      </c>
      <c r="C33" s="59" t="s">
        <v>1186</v>
      </c>
      <c r="D33" s="59" t="s">
        <v>1181</v>
      </c>
      <c r="E33" s="705"/>
      <c r="F33" s="705"/>
      <c r="G33" s="705"/>
      <c r="H33" s="704"/>
    </row>
    <row r="34" spans="2:8" x14ac:dyDescent="0.25">
      <c r="B34" s="59" t="s">
        <v>1646</v>
      </c>
      <c r="C34" s="59" t="s">
        <v>1186</v>
      </c>
      <c r="D34" s="59" t="s">
        <v>1201</v>
      </c>
      <c r="E34" s="704"/>
      <c r="F34" s="704"/>
      <c r="G34" s="704"/>
      <c r="H34" s="704"/>
    </row>
    <row r="35" spans="2:8" x14ac:dyDescent="0.25">
      <c r="B35" s="59" t="s">
        <v>1646</v>
      </c>
      <c r="C35" s="59" t="s">
        <v>1186</v>
      </c>
      <c r="D35" s="59" t="s">
        <v>1202</v>
      </c>
      <c r="E35" s="704"/>
      <c r="F35" s="704"/>
      <c r="G35" s="704"/>
      <c r="H35" s="704"/>
    </row>
    <row r="36" spans="2:8" x14ac:dyDescent="0.25">
      <c r="B36" s="59" t="s">
        <v>1646</v>
      </c>
      <c r="C36" s="59" t="s">
        <v>1186</v>
      </c>
      <c r="D36" s="59" t="s">
        <v>1206</v>
      </c>
      <c r="E36" s="704"/>
      <c r="F36" s="704"/>
      <c r="G36" s="704"/>
      <c r="H36" s="704"/>
    </row>
  </sheetData>
  <mergeCells count="1">
    <mergeCell ref="B3:F3"/>
  </mergeCells>
  <phoneticPr fontId="8" type="noConversion"/>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A0E8F-652D-4D5B-8288-E0157DAE18E4}">
  <sheetPr>
    <tabColor theme="8" tint="-0.249977111117893"/>
  </sheetPr>
  <dimension ref="A1:V32"/>
  <sheetViews>
    <sheetView workbookViewId="0">
      <selection activeCell="E7" sqref="E7:R11"/>
    </sheetView>
  </sheetViews>
  <sheetFormatPr baseColWidth="10" defaultColWidth="10.7109375" defaultRowHeight="15" x14ac:dyDescent="0.25"/>
  <cols>
    <col min="1" max="1" width="17" style="59" customWidth="1"/>
    <col min="2" max="6" width="10.7109375" style="59"/>
    <col min="7" max="7" width="13.140625" style="59" customWidth="1"/>
    <col min="8" max="8" width="16.42578125" style="59" customWidth="1"/>
    <col min="9" max="19" width="10.7109375" style="59"/>
    <col min="20" max="20" width="12.42578125" style="59" customWidth="1"/>
    <col min="21" max="16384" width="10.7109375" style="59"/>
  </cols>
  <sheetData>
    <row r="1" spans="1:20" ht="21" x14ac:dyDescent="0.35">
      <c r="A1" s="154" t="s">
        <v>1187</v>
      </c>
    </row>
    <row r="2" spans="1:20" ht="21.75" thickBot="1" x14ac:dyDescent="0.4">
      <c r="A2" s="154"/>
    </row>
    <row r="3" spans="1:20" ht="15.75" thickBot="1" x14ac:dyDescent="0.3">
      <c r="A3" s="155" t="s">
        <v>1127</v>
      </c>
      <c r="B3" s="1066"/>
      <c r="C3" s="1067"/>
      <c r="D3" s="1067"/>
      <c r="E3" s="1067"/>
      <c r="F3" s="1068"/>
    </row>
    <row r="6" spans="1:20" ht="60" x14ac:dyDescent="0.25">
      <c r="A6" s="155" t="s">
        <v>1140</v>
      </c>
      <c r="B6" s="156" t="s">
        <v>1129</v>
      </c>
      <c r="C6" s="156" t="s">
        <v>1130</v>
      </c>
      <c r="D6" s="156" t="s">
        <v>1131</v>
      </c>
      <c r="E6" s="150" t="s">
        <v>1132</v>
      </c>
      <c r="F6" s="150" t="s">
        <v>1141</v>
      </c>
      <c r="G6" s="150" t="s">
        <v>1142</v>
      </c>
      <c r="H6" s="150" t="s">
        <v>1143</v>
      </c>
      <c r="I6" s="150" t="s">
        <v>1144</v>
      </c>
      <c r="J6" s="150" t="s">
        <v>1145</v>
      </c>
      <c r="K6" s="150" t="s">
        <v>1146</v>
      </c>
      <c r="L6" s="150" t="s">
        <v>1147</v>
      </c>
      <c r="M6" s="150" t="s">
        <v>1148</v>
      </c>
      <c r="N6" s="150" t="s">
        <v>1149</v>
      </c>
      <c r="O6" s="150" t="s">
        <v>1150</v>
      </c>
      <c r="P6" s="150" t="s">
        <v>1151</v>
      </c>
      <c r="Q6" s="150" t="s">
        <v>1152</v>
      </c>
      <c r="R6" s="157" t="s">
        <v>1136</v>
      </c>
      <c r="S6" s="79"/>
      <c r="T6" s="79"/>
    </row>
    <row r="7" spans="1:20" x14ac:dyDescent="0.25">
      <c r="B7" s="59" t="s">
        <v>1646</v>
      </c>
      <c r="C7" s="59" t="s">
        <v>1154</v>
      </c>
      <c r="D7" s="59" t="s">
        <v>1153</v>
      </c>
      <c r="E7" s="705"/>
      <c r="F7" s="705"/>
      <c r="G7" s="705"/>
      <c r="H7" s="705"/>
      <c r="I7" s="705"/>
      <c r="J7" s="705"/>
      <c r="K7" s="705"/>
      <c r="L7" s="705"/>
      <c r="M7" s="705"/>
      <c r="N7" s="705"/>
      <c r="O7" s="705"/>
      <c r="P7" s="705"/>
      <c r="Q7" s="705"/>
      <c r="R7" s="704"/>
    </row>
    <row r="8" spans="1:20" x14ac:dyDescent="0.25">
      <c r="B8" s="59" t="s">
        <v>1646</v>
      </c>
      <c r="C8" s="59" t="s">
        <v>1154</v>
      </c>
      <c r="D8" s="59" t="s">
        <v>1195</v>
      </c>
      <c r="E8" s="705"/>
      <c r="F8" s="705"/>
      <c r="G8" s="705"/>
      <c r="H8" s="705"/>
      <c r="I8" s="705"/>
      <c r="J8" s="705"/>
      <c r="K8" s="705"/>
      <c r="L8" s="705"/>
      <c r="M8" s="705"/>
      <c r="N8" s="705"/>
      <c r="O8" s="705"/>
      <c r="P8" s="705"/>
      <c r="Q8" s="705"/>
      <c r="R8" s="704"/>
    </row>
    <row r="9" spans="1:20" x14ac:dyDescent="0.25">
      <c r="B9" s="59" t="s">
        <v>1646</v>
      </c>
      <c r="C9" s="59" t="s">
        <v>1154</v>
      </c>
      <c r="D9" s="59" t="s">
        <v>1196</v>
      </c>
      <c r="E9" s="705"/>
      <c r="F9" s="705"/>
      <c r="G9" s="705"/>
      <c r="H9" s="705"/>
      <c r="I9" s="705"/>
      <c r="J9" s="705"/>
      <c r="K9" s="705"/>
      <c r="L9" s="705"/>
      <c r="M9" s="705"/>
      <c r="N9" s="705"/>
      <c r="O9" s="705"/>
      <c r="P9" s="705"/>
      <c r="Q9" s="705"/>
      <c r="R9" s="704"/>
    </row>
    <row r="10" spans="1:20" x14ac:dyDescent="0.25">
      <c r="B10" s="59" t="s">
        <v>1646</v>
      </c>
      <c r="C10" s="59" t="s">
        <v>1154</v>
      </c>
      <c r="D10" s="59" t="s">
        <v>1197</v>
      </c>
      <c r="E10" s="705"/>
      <c r="F10" s="705"/>
      <c r="G10" s="705"/>
      <c r="H10" s="705"/>
      <c r="I10" s="705"/>
      <c r="J10" s="705"/>
      <c r="K10" s="705"/>
      <c r="L10" s="705"/>
      <c r="M10" s="705"/>
      <c r="N10" s="705"/>
      <c r="O10" s="705"/>
      <c r="P10" s="705"/>
      <c r="Q10" s="705"/>
      <c r="R10" s="704"/>
    </row>
    <row r="11" spans="1:20" x14ac:dyDescent="0.25">
      <c r="B11" s="59" t="s">
        <v>1646</v>
      </c>
      <c r="C11" s="59" t="s">
        <v>1154</v>
      </c>
      <c r="D11" s="59" t="s">
        <v>1203</v>
      </c>
      <c r="E11" s="704"/>
      <c r="F11" s="704"/>
      <c r="G11" s="704"/>
      <c r="H11" s="704"/>
      <c r="I11" s="704"/>
      <c r="J11" s="704"/>
      <c r="K11" s="704"/>
      <c r="L11" s="704"/>
      <c r="M11" s="704"/>
      <c r="N11" s="704"/>
      <c r="O11" s="704"/>
      <c r="P11" s="704"/>
      <c r="Q11" s="704"/>
      <c r="R11" s="704"/>
    </row>
    <row r="13" spans="1:20" ht="60" x14ac:dyDescent="0.25">
      <c r="A13" s="155" t="s">
        <v>1155</v>
      </c>
      <c r="B13" s="156" t="s">
        <v>1129</v>
      </c>
      <c r="C13" s="156" t="s">
        <v>1130</v>
      </c>
      <c r="D13" s="156" t="s">
        <v>1131</v>
      </c>
      <c r="E13" s="157" t="s">
        <v>1132</v>
      </c>
      <c r="F13" s="158" t="s">
        <v>1156</v>
      </c>
      <c r="G13" s="152" t="s">
        <v>1157</v>
      </c>
      <c r="H13" s="157" t="s">
        <v>1142</v>
      </c>
      <c r="I13" s="157" t="s">
        <v>1143</v>
      </c>
      <c r="J13" s="157" t="s">
        <v>1145</v>
      </c>
      <c r="K13" s="157" t="s">
        <v>1146</v>
      </c>
      <c r="L13" s="157" t="s">
        <v>1148</v>
      </c>
      <c r="M13" s="157" t="s">
        <v>1149</v>
      </c>
      <c r="N13" s="157" t="s">
        <v>1158</v>
      </c>
      <c r="O13" s="157" t="s">
        <v>1159</v>
      </c>
      <c r="P13" s="150" t="s">
        <v>1151</v>
      </c>
      <c r="Q13" s="157" t="s">
        <v>1152</v>
      </c>
      <c r="R13" s="157" t="s">
        <v>1136</v>
      </c>
      <c r="S13" s="79"/>
      <c r="T13" s="79"/>
    </row>
    <row r="14" spans="1:20" x14ac:dyDescent="0.25">
      <c r="B14" s="59" t="s">
        <v>1646</v>
      </c>
      <c r="C14" s="59" t="s">
        <v>1154</v>
      </c>
      <c r="D14" s="59" t="s">
        <v>1160</v>
      </c>
      <c r="E14" s="705"/>
      <c r="F14" s="705"/>
      <c r="G14" s="705"/>
      <c r="H14" s="705"/>
      <c r="I14" s="705"/>
      <c r="J14" s="705"/>
      <c r="K14" s="705"/>
      <c r="L14" s="705"/>
      <c r="M14" s="705"/>
      <c r="N14" s="705"/>
      <c r="O14" s="705"/>
      <c r="P14" s="705"/>
      <c r="Q14" s="705"/>
      <c r="R14" s="705"/>
    </row>
    <row r="15" spans="1:20" x14ac:dyDescent="0.25">
      <c r="B15" s="59" t="s">
        <v>1646</v>
      </c>
      <c r="C15" s="59" t="s">
        <v>1154</v>
      </c>
      <c r="D15" s="59" t="s">
        <v>1198</v>
      </c>
      <c r="E15" s="705"/>
      <c r="F15" s="705"/>
      <c r="G15" s="705"/>
      <c r="H15" s="705"/>
      <c r="I15" s="705"/>
      <c r="J15" s="705"/>
      <c r="K15" s="705"/>
      <c r="L15" s="705"/>
      <c r="M15" s="705"/>
      <c r="N15" s="705"/>
      <c r="O15" s="705"/>
      <c r="P15" s="705"/>
      <c r="Q15" s="705"/>
      <c r="R15" s="705"/>
    </row>
    <row r="16" spans="1:20" x14ac:dyDescent="0.25">
      <c r="B16" s="59" t="s">
        <v>1646</v>
      </c>
      <c r="C16" s="59" t="s">
        <v>1154</v>
      </c>
      <c r="D16" s="59" t="s">
        <v>1199</v>
      </c>
      <c r="E16" s="705"/>
      <c r="F16" s="705"/>
      <c r="G16" s="705"/>
      <c r="H16" s="705"/>
      <c r="I16" s="705"/>
      <c r="J16" s="705"/>
      <c r="K16" s="705"/>
      <c r="L16" s="705"/>
      <c r="M16" s="705"/>
      <c r="N16" s="705"/>
      <c r="O16" s="705"/>
      <c r="P16" s="705"/>
      <c r="Q16" s="705"/>
      <c r="R16" s="705"/>
    </row>
    <row r="17" spans="1:22" x14ac:dyDescent="0.25">
      <c r="B17" s="59" t="s">
        <v>1646</v>
      </c>
      <c r="C17" s="59" t="s">
        <v>1154</v>
      </c>
      <c r="D17" s="59" t="s">
        <v>1200</v>
      </c>
      <c r="E17" s="705"/>
      <c r="F17" s="705"/>
      <c r="G17" s="705"/>
      <c r="H17" s="705"/>
      <c r="I17" s="705"/>
      <c r="J17" s="705"/>
      <c r="K17" s="705"/>
      <c r="L17" s="705"/>
      <c r="M17" s="705"/>
      <c r="N17" s="705"/>
      <c r="O17" s="705"/>
      <c r="P17" s="705"/>
      <c r="Q17" s="705"/>
      <c r="R17" s="705"/>
    </row>
    <row r="18" spans="1:22" x14ac:dyDescent="0.25">
      <c r="B18" s="59" t="s">
        <v>1646</v>
      </c>
      <c r="C18" s="59" t="s">
        <v>1154</v>
      </c>
      <c r="D18" s="59" t="s">
        <v>1204</v>
      </c>
      <c r="E18" s="704"/>
      <c r="F18" s="704"/>
      <c r="G18" s="704"/>
      <c r="H18" s="704"/>
      <c r="I18" s="704"/>
      <c r="J18" s="704"/>
      <c r="K18" s="704"/>
      <c r="L18" s="704"/>
      <c r="M18" s="704"/>
      <c r="N18" s="704"/>
      <c r="O18" s="704"/>
      <c r="P18" s="704"/>
      <c r="Q18" s="704"/>
      <c r="R18" s="704"/>
    </row>
    <row r="20" spans="1:22" ht="60" x14ac:dyDescent="0.25">
      <c r="A20" s="155" t="s">
        <v>1161</v>
      </c>
      <c r="B20" s="156" t="s">
        <v>1129</v>
      </c>
      <c r="C20" s="156" t="s">
        <v>1130</v>
      </c>
      <c r="D20" s="156" t="s">
        <v>1131</v>
      </c>
      <c r="E20" s="157" t="s">
        <v>1132</v>
      </c>
      <c r="F20" s="158" t="s">
        <v>1162</v>
      </c>
      <c r="G20" s="158" t="s">
        <v>1163</v>
      </c>
      <c r="H20" s="150" t="s">
        <v>1184</v>
      </c>
      <c r="I20" s="157" t="s">
        <v>1165</v>
      </c>
      <c r="J20" s="157" t="s">
        <v>1166</v>
      </c>
      <c r="K20" s="150" t="s">
        <v>1167</v>
      </c>
      <c r="L20" s="157" t="s">
        <v>1168</v>
      </c>
      <c r="M20" s="157" t="s">
        <v>1169</v>
      </c>
      <c r="N20" s="150" t="s">
        <v>1170</v>
      </c>
      <c r="O20" s="157" t="s">
        <v>1171</v>
      </c>
      <c r="P20" s="157" t="s">
        <v>1172</v>
      </c>
      <c r="Q20" s="150" t="s">
        <v>1150</v>
      </c>
      <c r="R20" s="157" t="s">
        <v>1173</v>
      </c>
      <c r="S20" s="157" t="s">
        <v>1174</v>
      </c>
      <c r="T20" s="150" t="s">
        <v>1175</v>
      </c>
      <c r="U20" s="150" t="s">
        <v>1151</v>
      </c>
      <c r="V20" s="157" t="s">
        <v>1136</v>
      </c>
    </row>
    <row r="21" spans="1:22" x14ac:dyDescent="0.25">
      <c r="B21" s="59" t="s">
        <v>1646</v>
      </c>
      <c r="C21" s="59" t="s">
        <v>1154</v>
      </c>
      <c r="D21" s="59" t="s">
        <v>1176</v>
      </c>
      <c r="E21" s="704"/>
      <c r="F21" s="705"/>
      <c r="G21" s="705"/>
      <c r="H21" s="704"/>
      <c r="I21" s="705"/>
      <c r="J21" s="705"/>
      <c r="K21" s="705"/>
      <c r="L21" s="705"/>
      <c r="M21" s="705"/>
      <c r="N21" s="705"/>
      <c r="O21" s="705"/>
      <c r="P21" s="705"/>
      <c r="Q21" s="705"/>
      <c r="R21" s="705"/>
      <c r="S21" s="705"/>
      <c r="T21" s="705"/>
      <c r="U21" s="705"/>
      <c r="V21" s="704"/>
    </row>
    <row r="22" spans="1:22" x14ac:dyDescent="0.25">
      <c r="B22" s="59" t="s">
        <v>1646</v>
      </c>
      <c r="C22" s="59" t="s">
        <v>1154</v>
      </c>
      <c r="D22" s="59" t="s">
        <v>1177</v>
      </c>
      <c r="E22" s="704"/>
      <c r="F22" s="705"/>
      <c r="G22" s="705"/>
      <c r="H22" s="704"/>
      <c r="I22" s="705"/>
      <c r="J22" s="705"/>
      <c r="K22" s="705"/>
      <c r="L22" s="705"/>
      <c r="M22" s="705"/>
      <c r="N22" s="705"/>
      <c r="O22" s="705"/>
      <c r="P22" s="705"/>
      <c r="Q22" s="705"/>
      <c r="R22" s="705"/>
      <c r="S22" s="705"/>
      <c r="T22" s="705"/>
      <c r="U22" s="705"/>
      <c r="V22" s="704"/>
    </row>
    <row r="23" spans="1:22" x14ac:dyDescent="0.25">
      <c r="B23" s="59" t="s">
        <v>1646</v>
      </c>
      <c r="C23" s="59" t="s">
        <v>1154</v>
      </c>
      <c r="D23" s="59" t="s">
        <v>1178</v>
      </c>
      <c r="E23" s="704"/>
      <c r="F23" s="705"/>
      <c r="G23" s="705"/>
      <c r="H23" s="704"/>
      <c r="I23" s="705"/>
      <c r="J23" s="705"/>
      <c r="K23" s="705"/>
      <c r="L23" s="705"/>
      <c r="M23" s="705"/>
      <c r="N23" s="705"/>
      <c r="O23" s="705"/>
      <c r="P23" s="705"/>
      <c r="Q23" s="705"/>
      <c r="R23" s="705"/>
      <c r="S23" s="705"/>
      <c r="T23" s="705"/>
      <c r="U23" s="705"/>
      <c r="V23" s="704"/>
    </row>
    <row r="24" spans="1:22" x14ac:dyDescent="0.25">
      <c r="B24" s="59" t="s">
        <v>1646</v>
      </c>
      <c r="C24" s="59" t="s">
        <v>1154</v>
      </c>
      <c r="D24" s="59" t="s">
        <v>1205</v>
      </c>
      <c r="E24" s="704"/>
      <c r="F24" s="705"/>
      <c r="G24" s="705"/>
      <c r="H24" s="704"/>
      <c r="I24" s="705"/>
      <c r="J24" s="705"/>
      <c r="K24" s="705"/>
      <c r="L24" s="705"/>
      <c r="M24" s="705"/>
      <c r="N24" s="705"/>
      <c r="O24" s="705"/>
      <c r="P24" s="705"/>
      <c r="Q24" s="705"/>
      <c r="R24" s="705"/>
      <c r="S24" s="705"/>
      <c r="T24" s="705"/>
      <c r="U24" s="705"/>
      <c r="V24" s="704"/>
    </row>
    <row r="25" spans="1:22" x14ac:dyDescent="0.25">
      <c r="B25" s="59" t="s">
        <v>1646</v>
      </c>
      <c r="C25" s="59" t="s">
        <v>1154</v>
      </c>
      <c r="D25" s="59" t="s">
        <v>1207</v>
      </c>
      <c r="E25" s="704"/>
      <c r="F25" s="705"/>
      <c r="G25" s="705"/>
      <c r="H25" s="704"/>
      <c r="I25" s="705"/>
      <c r="J25" s="705"/>
      <c r="K25" s="705"/>
      <c r="L25" s="705"/>
      <c r="M25" s="705"/>
      <c r="N25" s="705"/>
      <c r="O25" s="705"/>
      <c r="P25" s="705"/>
      <c r="Q25" s="705"/>
      <c r="R25" s="705"/>
      <c r="S25" s="705"/>
      <c r="T25" s="705"/>
      <c r="U25" s="705"/>
      <c r="V25" s="704"/>
    </row>
    <row r="27" spans="1:22" x14ac:dyDescent="0.25">
      <c r="A27" s="155" t="s">
        <v>1179</v>
      </c>
      <c r="B27" s="156" t="s">
        <v>1129</v>
      </c>
      <c r="C27" s="156" t="s">
        <v>1130</v>
      </c>
      <c r="D27" s="156" t="s">
        <v>1131</v>
      </c>
      <c r="E27" s="157" t="s">
        <v>1132</v>
      </c>
      <c r="F27" s="157" t="s">
        <v>1180</v>
      </c>
      <c r="G27" s="157" t="s">
        <v>1135</v>
      </c>
      <c r="H27" s="157" t="s">
        <v>1136</v>
      </c>
    </row>
    <row r="28" spans="1:22" x14ac:dyDescent="0.25">
      <c r="B28" s="59" t="s">
        <v>1646</v>
      </c>
      <c r="C28" s="59" t="s">
        <v>1154</v>
      </c>
      <c r="D28" s="59" t="s">
        <v>1181</v>
      </c>
      <c r="E28" s="705"/>
      <c r="F28" s="705"/>
      <c r="G28" s="705"/>
      <c r="H28" s="704"/>
    </row>
    <row r="29" spans="1:22" x14ac:dyDescent="0.25">
      <c r="B29" s="59" t="s">
        <v>1646</v>
      </c>
      <c r="C29" s="59" t="s">
        <v>1154</v>
      </c>
      <c r="D29" s="59" t="s">
        <v>1201</v>
      </c>
      <c r="E29" s="704"/>
      <c r="F29" s="704"/>
      <c r="G29" s="704"/>
      <c r="H29" s="704"/>
    </row>
    <row r="30" spans="1:22" x14ac:dyDescent="0.25">
      <c r="B30" s="59" t="s">
        <v>1646</v>
      </c>
      <c r="C30" s="59" t="s">
        <v>1154</v>
      </c>
      <c r="D30" s="59" t="s">
        <v>1202</v>
      </c>
      <c r="E30" s="704"/>
      <c r="F30" s="704"/>
      <c r="G30" s="704"/>
      <c r="H30" s="704"/>
    </row>
    <row r="31" spans="1:22" x14ac:dyDescent="0.25">
      <c r="B31" s="59" t="s">
        <v>1646</v>
      </c>
      <c r="C31" s="59" t="s">
        <v>1154</v>
      </c>
      <c r="D31" s="59" t="s">
        <v>1206</v>
      </c>
      <c r="E31" s="704"/>
      <c r="F31" s="704"/>
      <c r="G31" s="704"/>
      <c r="H31" s="704"/>
    </row>
    <row r="32" spans="1:22" x14ac:dyDescent="0.25">
      <c r="B32" s="59" t="s">
        <v>1646</v>
      </c>
      <c r="C32" s="59" t="s">
        <v>1154</v>
      </c>
      <c r="D32" s="59" t="s">
        <v>1209</v>
      </c>
      <c r="E32" s="704"/>
      <c r="F32" s="704"/>
      <c r="G32" s="704"/>
      <c r="H32" s="704"/>
    </row>
  </sheetData>
  <mergeCells count="1">
    <mergeCell ref="B3:F3"/>
  </mergeCells>
  <phoneticPr fontId="8"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8E549-DD60-406F-AE78-BCD7688C3459}">
  <sheetPr codeName="Feuil2">
    <tabColor theme="7" tint="-0.249977111117893"/>
  </sheetPr>
  <dimension ref="B1:D22"/>
  <sheetViews>
    <sheetView workbookViewId="0">
      <selection activeCell="D13" sqref="D13"/>
    </sheetView>
  </sheetViews>
  <sheetFormatPr baseColWidth="10" defaultColWidth="10.7109375" defaultRowHeight="15" x14ac:dyDescent="0.25"/>
  <cols>
    <col min="2" max="2" width="46.42578125" customWidth="1"/>
    <col min="3" max="3" width="54.140625" customWidth="1"/>
    <col min="4" max="4" width="103.42578125" bestFit="1" customWidth="1"/>
  </cols>
  <sheetData>
    <row r="1" spans="2:4" s="59" customFormat="1" ht="15.75" thickBot="1" x14ac:dyDescent="0.3"/>
    <row r="2" spans="2:4" ht="15.75" thickBot="1" x14ac:dyDescent="0.3">
      <c r="B2" s="59"/>
      <c r="C2" s="59"/>
      <c r="D2" s="45" t="s">
        <v>346</v>
      </c>
    </row>
    <row r="3" spans="2:4" x14ac:dyDescent="0.25">
      <c r="B3" s="11" t="s">
        <v>453</v>
      </c>
      <c r="C3" s="103"/>
      <c r="D3" s="23" t="s">
        <v>469</v>
      </c>
    </row>
    <row r="4" spans="2:4" x14ac:dyDescent="0.25">
      <c r="B4" s="13" t="s">
        <v>462</v>
      </c>
      <c r="C4" s="104"/>
      <c r="D4" s="24" t="s">
        <v>465</v>
      </c>
    </row>
    <row r="5" spans="2:4" x14ac:dyDescent="0.25">
      <c r="B5" s="13" t="s">
        <v>463</v>
      </c>
      <c r="C5" s="104"/>
      <c r="D5" s="24" t="s">
        <v>466</v>
      </c>
    </row>
    <row r="6" spans="2:4" x14ac:dyDescent="0.25">
      <c r="B6" s="13" t="s">
        <v>464</v>
      </c>
      <c r="C6" s="105"/>
      <c r="D6" s="24" t="s">
        <v>467</v>
      </c>
    </row>
    <row r="7" spans="2:4" ht="15.75" thickBot="1" x14ac:dyDescent="0.3">
      <c r="B7" s="14" t="s">
        <v>461</v>
      </c>
      <c r="C7" s="102" t="str">
        <f>C4&amp;C5&amp;C6</f>
        <v/>
      </c>
      <c r="D7" s="25" t="s">
        <v>468</v>
      </c>
    </row>
    <row r="8" spans="2:4" ht="15.75" thickBot="1" x14ac:dyDescent="0.3">
      <c r="B8" s="822" t="s">
        <v>454</v>
      </c>
      <c r="C8" s="823"/>
      <c r="D8" s="824"/>
    </row>
    <row r="9" spans="2:4" x14ac:dyDescent="0.25">
      <c r="B9" s="11" t="s">
        <v>455</v>
      </c>
      <c r="C9" s="106"/>
      <c r="D9" s="23"/>
    </row>
    <row r="10" spans="2:4" x14ac:dyDescent="0.25">
      <c r="B10" s="13" t="s">
        <v>456</v>
      </c>
      <c r="C10" s="107"/>
      <c r="D10" s="24"/>
    </row>
    <row r="11" spans="2:4" x14ac:dyDescent="0.25">
      <c r="B11" s="13" t="s">
        <v>1098</v>
      </c>
      <c r="C11" s="107"/>
      <c r="D11" s="24"/>
    </row>
    <row r="12" spans="2:4" ht="17.25" x14ac:dyDescent="0.25">
      <c r="B12" s="13" t="s">
        <v>1099</v>
      </c>
      <c r="C12" s="107"/>
      <c r="D12" s="24"/>
    </row>
    <row r="13" spans="2:4" s="59" customFormat="1" ht="15.75" thickBot="1" x14ac:dyDescent="0.3">
      <c r="B13" s="14" t="s">
        <v>1540</v>
      </c>
      <c r="C13" s="564"/>
      <c r="D13" s="25"/>
    </row>
    <row r="14" spans="2:4" ht="15.75" thickBot="1" x14ac:dyDescent="0.3">
      <c r="B14" s="825" t="s">
        <v>1100</v>
      </c>
      <c r="C14" s="826"/>
      <c r="D14" s="827"/>
    </row>
    <row r="15" spans="2:4" ht="30.75" thickBot="1" x14ac:dyDescent="0.3">
      <c r="B15" s="90" t="s">
        <v>1101</v>
      </c>
      <c r="C15" s="828"/>
      <c r="D15" s="829"/>
    </row>
    <row r="16" spans="2:4" s="59" customFormat="1" ht="15.75" thickBot="1" x14ac:dyDescent="0.3">
      <c r="B16" s="820" t="s">
        <v>1211</v>
      </c>
      <c r="C16" s="830"/>
      <c r="D16" s="821"/>
    </row>
    <row r="17" spans="2:4" s="59" customFormat="1" x14ac:dyDescent="0.25">
      <c r="B17" s="21" t="s">
        <v>1212</v>
      </c>
      <c r="C17" s="106"/>
      <c r="D17" s="99"/>
    </row>
    <row r="18" spans="2:4" s="59" customFormat="1" x14ac:dyDescent="0.25">
      <c r="B18" s="13" t="s">
        <v>1213</v>
      </c>
      <c r="C18" s="104"/>
      <c r="D18" s="24"/>
    </row>
    <row r="19" spans="2:4" s="59" customFormat="1" x14ac:dyDescent="0.25">
      <c r="B19" s="13" t="s">
        <v>1214</v>
      </c>
      <c r="C19" s="104"/>
      <c r="D19" s="24"/>
    </row>
    <row r="20" spans="2:4" s="59" customFormat="1" x14ac:dyDescent="0.25">
      <c r="B20" s="13" t="s">
        <v>1215</v>
      </c>
      <c r="C20" s="104"/>
      <c r="D20" s="24"/>
    </row>
    <row r="21" spans="2:4" s="59" customFormat="1" ht="15.75" thickBot="1" x14ac:dyDescent="0.3">
      <c r="B21" s="14" t="s">
        <v>1216</v>
      </c>
      <c r="C21" s="108"/>
      <c r="D21" s="25"/>
    </row>
    <row r="22" spans="2:4" x14ac:dyDescent="0.25">
      <c r="B22" s="59"/>
    </row>
  </sheetData>
  <mergeCells count="4">
    <mergeCell ref="B8:D8"/>
    <mergeCell ref="B14:D14"/>
    <mergeCell ref="C15:D15"/>
    <mergeCell ref="B16:D1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E9907-2A21-4AEC-996F-121D69B800D5}">
  <sheetPr codeName="Feuil10">
    <tabColor theme="2" tint="-0.749992370372631"/>
  </sheetPr>
  <dimension ref="A1:F74"/>
  <sheetViews>
    <sheetView topLeftCell="A8" workbookViewId="0">
      <selection activeCell="C39" sqref="C39"/>
    </sheetView>
  </sheetViews>
  <sheetFormatPr baseColWidth="10" defaultColWidth="10.7109375" defaultRowHeight="15" x14ac:dyDescent="0.25"/>
  <cols>
    <col min="1" max="1" width="48.7109375" bestFit="1" customWidth="1"/>
    <col min="2" max="2" width="11.42578125" bestFit="1" customWidth="1"/>
    <col min="3" max="3" width="12" style="81" bestFit="1" customWidth="1"/>
    <col min="4" max="4" width="106.42578125" customWidth="1"/>
    <col min="5" max="5" width="22.7109375" bestFit="1" customWidth="1"/>
    <col min="6" max="6" width="12.140625" bestFit="1" customWidth="1"/>
  </cols>
  <sheetData>
    <row r="1" spans="1:6" ht="18" thickBot="1" x14ac:dyDescent="0.35">
      <c r="A1" s="1" t="s">
        <v>1</v>
      </c>
      <c r="B1" s="1" t="s">
        <v>7</v>
      </c>
      <c r="C1" s="80" t="s">
        <v>8</v>
      </c>
      <c r="D1" s="1" t="s">
        <v>346</v>
      </c>
      <c r="E1" s="1" t="s">
        <v>347</v>
      </c>
      <c r="F1" s="1" t="s">
        <v>457</v>
      </c>
    </row>
    <row r="2" spans="1:6" ht="16.5" thickTop="1" thickBot="1" x14ac:dyDescent="0.3">
      <c r="A2" s="59"/>
      <c r="B2" s="59"/>
      <c r="D2" s="59"/>
      <c r="E2" s="59"/>
      <c r="F2" s="59"/>
    </row>
    <row r="3" spans="1:6" ht="15.75" thickBot="1" x14ac:dyDescent="0.3">
      <c r="A3" s="822" t="s">
        <v>344</v>
      </c>
      <c r="B3" s="823"/>
      <c r="C3" s="823"/>
      <c r="D3" s="823"/>
      <c r="E3" s="823"/>
      <c r="F3" s="824"/>
    </row>
    <row r="4" spans="1:6" x14ac:dyDescent="0.25">
      <c r="A4" s="720" t="s">
        <v>6</v>
      </c>
      <c r="B4" s="50" t="s">
        <v>9</v>
      </c>
      <c r="C4" s="721">
        <f>'Sheet 4'!D20</f>
        <v>0</v>
      </c>
      <c r="D4" s="50" t="s">
        <v>379</v>
      </c>
      <c r="E4" s="707" t="s">
        <v>148</v>
      </c>
      <c r="F4" s="708"/>
    </row>
    <row r="5" spans="1:6" x14ac:dyDescent="0.25">
      <c r="A5" s="631" t="s">
        <v>20</v>
      </c>
      <c r="B5" s="49" t="s">
        <v>21</v>
      </c>
      <c r="C5" s="722">
        <f>'Sheet 1'!C3</f>
        <v>0</v>
      </c>
      <c r="D5" s="49" t="s">
        <v>1087</v>
      </c>
      <c r="E5" s="710" t="s">
        <v>337</v>
      </c>
      <c r="F5" s="711"/>
    </row>
    <row r="6" spans="1:6" s="59" customFormat="1" x14ac:dyDescent="0.25">
      <c r="A6" s="631" t="s">
        <v>1094</v>
      </c>
      <c r="B6" s="49" t="s">
        <v>21</v>
      </c>
      <c r="C6" s="723">
        <f>'Sheet 1'!C4</f>
        <v>0</v>
      </c>
      <c r="D6" s="49" t="s">
        <v>1095</v>
      </c>
      <c r="E6" s="710" t="s">
        <v>337</v>
      </c>
      <c r="F6" s="711"/>
    </row>
    <row r="7" spans="1:6" x14ac:dyDescent="0.25">
      <c r="A7" s="631" t="s">
        <v>22</v>
      </c>
      <c r="B7" s="49" t="s">
        <v>21</v>
      </c>
      <c r="C7" s="723">
        <f>'Sheet 2'!C4</f>
        <v>0</v>
      </c>
      <c r="D7" s="49" t="s">
        <v>381</v>
      </c>
      <c r="E7" s="710" t="s">
        <v>128</v>
      </c>
      <c r="F7" s="711"/>
    </row>
    <row r="8" spans="1:6" x14ac:dyDescent="0.25">
      <c r="A8" s="631" t="s">
        <v>40</v>
      </c>
      <c r="B8" s="49" t="s">
        <v>21</v>
      </c>
      <c r="C8" s="644">
        <f>'Sheet 1'!C12</f>
        <v>0</v>
      </c>
      <c r="D8" s="70" t="s">
        <v>380</v>
      </c>
      <c r="E8" s="710" t="s">
        <v>337</v>
      </c>
      <c r="F8" s="711"/>
    </row>
    <row r="9" spans="1:6" x14ac:dyDescent="0.25">
      <c r="A9" s="631" t="s">
        <v>1543</v>
      </c>
      <c r="B9" s="49" t="s">
        <v>60</v>
      </c>
      <c r="C9" s="723">
        <f>'Sheet 1'!C5</f>
        <v>0</v>
      </c>
      <c r="D9" s="70" t="s">
        <v>1544</v>
      </c>
      <c r="E9" s="710" t="s">
        <v>337</v>
      </c>
      <c r="F9" s="711"/>
    </row>
    <row r="10" spans="1:6" x14ac:dyDescent="0.25">
      <c r="A10" s="631" t="s">
        <v>1112</v>
      </c>
      <c r="B10" s="49" t="s">
        <v>69</v>
      </c>
      <c r="C10" s="724" t="e">
        <f>'Sheet 5'!I31</f>
        <v>#DIV/0!</v>
      </c>
      <c r="D10" s="70"/>
      <c r="E10" s="710" t="s">
        <v>1124</v>
      </c>
      <c r="F10" s="711"/>
    </row>
    <row r="11" spans="1:6" x14ac:dyDescent="0.25">
      <c r="A11" s="631" t="s">
        <v>104</v>
      </c>
      <c r="B11" s="49" t="s">
        <v>69</v>
      </c>
      <c r="C11" s="725"/>
      <c r="D11" s="49" t="s">
        <v>1552</v>
      </c>
      <c r="E11" s="709"/>
      <c r="F11" s="711"/>
    </row>
    <row r="12" spans="1:6" x14ac:dyDescent="0.25">
      <c r="A12" s="631" t="s">
        <v>271</v>
      </c>
      <c r="B12" s="49" t="s">
        <v>69</v>
      </c>
      <c r="C12" s="725"/>
      <c r="D12" s="49" t="s">
        <v>383</v>
      </c>
      <c r="E12" s="709"/>
      <c r="F12" s="711"/>
    </row>
    <row r="13" spans="1:6" x14ac:dyDescent="0.25">
      <c r="A13" s="631" t="s">
        <v>147</v>
      </c>
      <c r="B13" s="49" t="s">
        <v>69</v>
      </c>
      <c r="C13" s="723" t="e">
        <f>'Sheet 6'!C7</f>
        <v>#DIV/0!</v>
      </c>
      <c r="D13" s="49" t="s">
        <v>384</v>
      </c>
      <c r="E13" s="710" t="s">
        <v>1125</v>
      </c>
      <c r="F13" s="711"/>
    </row>
    <row r="14" spans="1:6" ht="15.75" thickBot="1" x14ac:dyDescent="0.3">
      <c r="A14" s="726" t="s">
        <v>508</v>
      </c>
      <c r="B14" s="52" t="s">
        <v>70</v>
      </c>
      <c r="C14" s="727" t="e">
        <f>'Sheet 2'!C5</f>
        <v>#DIV/0!</v>
      </c>
      <c r="D14" s="52"/>
      <c r="E14" s="713" t="s">
        <v>128</v>
      </c>
      <c r="F14" s="83"/>
    </row>
    <row r="15" spans="1:6" ht="15.75" thickBot="1" x14ac:dyDescent="0.3">
      <c r="A15" s="57"/>
      <c r="B15" s="57"/>
      <c r="C15" s="714"/>
      <c r="D15" s="57"/>
      <c r="E15" s="57"/>
      <c r="F15" s="57"/>
    </row>
    <row r="16" spans="1:6" ht="15.75" thickBot="1" x14ac:dyDescent="0.3">
      <c r="A16" s="831" t="s">
        <v>338</v>
      </c>
      <c r="B16" s="832"/>
      <c r="C16" s="832"/>
      <c r="D16" s="832"/>
      <c r="E16" s="832"/>
      <c r="F16" s="833"/>
    </row>
    <row r="17" spans="1:6" x14ac:dyDescent="0.25">
      <c r="A17" s="720" t="s">
        <v>388</v>
      </c>
      <c r="B17" s="50" t="s">
        <v>164</v>
      </c>
      <c r="C17" s="728"/>
      <c r="D17" s="50" t="s">
        <v>389</v>
      </c>
      <c r="E17" s="706"/>
      <c r="F17" s="708"/>
    </row>
    <row r="18" spans="1:6" x14ac:dyDescent="0.25">
      <c r="A18" s="631" t="s">
        <v>189</v>
      </c>
      <c r="B18" s="49" t="s">
        <v>38</v>
      </c>
      <c r="C18" s="725"/>
      <c r="D18" s="49" t="s">
        <v>391</v>
      </c>
      <c r="E18" s="709"/>
      <c r="F18" s="711"/>
    </row>
    <row r="19" spans="1:6" x14ac:dyDescent="0.25">
      <c r="A19" s="631" t="s">
        <v>489</v>
      </c>
      <c r="B19" s="49" t="s">
        <v>38</v>
      </c>
      <c r="C19" s="725"/>
      <c r="D19" s="49"/>
      <c r="E19" s="709"/>
      <c r="F19" s="711"/>
    </row>
    <row r="20" spans="1:6" x14ac:dyDescent="0.25">
      <c r="A20" s="631" t="s">
        <v>490</v>
      </c>
      <c r="B20" s="49" t="s">
        <v>38</v>
      </c>
      <c r="C20" s="725"/>
      <c r="D20" s="49"/>
      <c r="E20" s="709"/>
      <c r="F20" s="711"/>
    </row>
    <row r="21" spans="1:6" x14ac:dyDescent="0.25">
      <c r="A21" s="631" t="s">
        <v>190</v>
      </c>
      <c r="B21" s="49" t="s">
        <v>38</v>
      </c>
      <c r="C21" s="725"/>
      <c r="D21" s="49" t="s">
        <v>190</v>
      </c>
      <c r="E21" s="709"/>
      <c r="F21" s="711"/>
    </row>
    <row r="22" spans="1:6" x14ac:dyDescent="0.25">
      <c r="A22" s="631" t="s">
        <v>1115</v>
      </c>
      <c r="B22" s="49" t="s">
        <v>165</v>
      </c>
      <c r="C22" s="725"/>
      <c r="D22" s="49" t="s">
        <v>1114</v>
      </c>
      <c r="E22" s="709"/>
      <c r="F22" s="711"/>
    </row>
    <row r="23" spans="1:6" x14ac:dyDescent="0.25">
      <c r="A23" s="631" t="s">
        <v>488</v>
      </c>
      <c r="B23" s="49" t="s">
        <v>69</v>
      </c>
      <c r="C23" s="725"/>
      <c r="D23" s="49"/>
      <c r="E23" s="709"/>
      <c r="F23" s="711"/>
    </row>
    <row r="24" spans="1:6" x14ac:dyDescent="0.25">
      <c r="A24" s="631" t="s">
        <v>174</v>
      </c>
      <c r="B24" s="49" t="s">
        <v>69</v>
      </c>
      <c r="C24" s="725"/>
      <c r="D24" s="49"/>
      <c r="E24" s="709"/>
      <c r="F24" s="711"/>
    </row>
    <row r="25" spans="1:6" x14ac:dyDescent="0.25">
      <c r="A25" s="631" t="s">
        <v>179</v>
      </c>
      <c r="B25" s="49" t="s">
        <v>69</v>
      </c>
      <c r="C25" s="725"/>
      <c r="D25" s="49"/>
      <c r="E25" s="709"/>
      <c r="F25" s="711"/>
    </row>
    <row r="26" spans="1:6" x14ac:dyDescent="0.25">
      <c r="A26" s="631" t="s">
        <v>163</v>
      </c>
      <c r="B26" s="49" t="s">
        <v>69</v>
      </c>
      <c r="C26" s="725"/>
      <c r="D26" s="49"/>
      <c r="E26" s="709"/>
      <c r="F26" s="711"/>
    </row>
    <row r="27" spans="1:6" x14ac:dyDescent="0.25">
      <c r="A27" s="631" t="s">
        <v>173</v>
      </c>
      <c r="B27" s="49" t="s">
        <v>69</v>
      </c>
      <c r="C27" s="725"/>
      <c r="D27" s="49"/>
      <c r="E27" s="709"/>
      <c r="F27" s="711"/>
    </row>
    <row r="28" spans="1:6" x14ac:dyDescent="0.25">
      <c r="A28" s="631" t="s">
        <v>339</v>
      </c>
      <c r="B28" s="49" t="s">
        <v>340</v>
      </c>
      <c r="C28" s="725"/>
      <c r="D28" s="48" t="s">
        <v>480</v>
      </c>
      <c r="E28" s="709"/>
      <c r="F28" s="711"/>
    </row>
    <row r="29" spans="1:6" ht="45.75" thickBot="1" x14ac:dyDescent="0.3">
      <c r="A29" s="729" t="s">
        <v>360</v>
      </c>
      <c r="B29" s="52" t="s">
        <v>167</v>
      </c>
      <c r="C29" s="730"/>
      <c r="D29" s="731" t="s">
        <v>362</v>
      </c>
      <c r="E29" s="715" t="s">
        <v>441</v>
      </c>
      <c r="F29" s="716"/>
    </row>
    <row r="30" spans="1:6" ht="15.75" thickBot="1" x14ac:dyDescent="0.3">
      <c r="A30" s="57"/>
      <c r="B30" s="57"/>
      <c r="C30" s="714"/>
      <c r="D30" s="57"/>
      <c r="E30" s="57"/>
      <c r="F30" s="57"/>
    </row>
    <row r="31" spans="1:6" ht="15.75" thickBot="1" x14ac:dyDescent="0.3">
      <c r="A31" s="831" t="s">
        <v>341</v>
      </c>
      <c r="B31" s="832"/>
      <c r="C31" s="832"/>
      <c r="D31" s="832"/>
      <c r="E31" s="832"/>
      <c r="F31" s="833"/>
    </row>
    <row r="32" spans="1:6" x14ac:dyDescent="0.25">
      <c r="A32" s="720" t="s">
        <v>37</v>
      </c>
      <c r="B32" s="50" t="s">
        <v>38</v>
      </c>
      <c r="C32" s="814" t="e">
        <f>'Sheet 3'!J160</f>
        <v>#DIV/0!</v>
      </c>
      <c r="D32" s="50"/>
      <c r="E32" s="707" t="s">
        <v>129</v>
      </c>
      <c r="F32" s="708"/>
    </row>
    <row r="33" spans="1:6" x14ac:dyDescent="0.25">
      <c r="A33" s="631" t="s">
        <v>79</v>
      </c>
      <c r="B33" s="49" t="s">
        <v>38</v>
      </c>
      <c r="C33" s="732" t="e">
        <f>('Sheet 3'!C23*'Sheet 3'!E23)+('Sheet 3'!C30*'Sheet 3'!E30)</f>
        <v>#DIV/0!</v>
      </c>
      <c r="D33" s="49" t="s">
        <v>399</v>
      </c>
      <c r="E33" s="710" t="s">
        <v>129</v>
      </c>
      <c r="F33" s="711"/>
    </row>
    <row r="34" spans="1:6" x14ac:dyDescent="0.25">
      <c r="A34" s="631" t="s">
        <v>86</v>
      </c>
      <c r="B34" s="49" t="s">
        <v>38</v>
      </c>
      <c r="C34" s="732">
        <f>('Sheet 3'!C22*'Sheet 3'!E22)+('Sheet 3'!C31*'Sheet 3'!E31)</f>
        <v>0</v>
      </c>
      <c r="D34" s="49" t="s">
        <v>398</v>
      </c>
      <c r="E34" s="710" t="s">
        <v>129</v>
      </c>
      <c r="F34" s="711"/>
    </row>
    <row r="35" spans="1:6" x14ac:dyDescent="0.25">
      <c r="A35" s="631" t="s">
        <v>209</v>
      </c>
      <c r="B35" s="49" t="s">
        <v>38</v>
      </c>
      <c r="C35" s="732">
        <f>'Sheet 3'!C25*'Sheet 3'!E25</f>
        <v>0</v>
      </c>
      <c r="D35" s="49" t="s">
        <v>400</v>
      </c>
      <c r="E35" s="710" t="s">
        <v>129</v>
      </c>
      <c r="F35" s="711"/>
    </row>
    <row r="36" spans="1:6" x14ac:dyDescent="0.25">
      <c r="A36" s="631" t="s">
        <v>138</v>
      </c>
      <c r="B36" s="49" t="s">
        <v>38</v>
      </c>
      <c r="C36" s="725"/>
      <c r="D36" s="70" t="s">
        <v>401</v>
      </c>
      <c r="E36" s="709"/>
      <c r="F36" s="711"/>
    </row>
    <row r="37" spans="1:6" x14ac:dyDescent="0.25">
      <c r="A37" s="631" t="s">
        <v>90</v>
      </c>
      <c r="B37" s="49"/>
      <c r="C37" s="733">
        <f>'Sheet 3'!J154</f>
        <v>0</v>
      </c>
      <c r="D37" s="49" t="s">
        <v>402</v>
      </c>
      <c r="E37" s="710" t="s">
        <v>129</v>
      </c>
      <c r="F37" s="711"/>
    </row>
    <row r="38" spans="1:6" ht="30" x14ac:dyDescent="0.25">
      <c r="A38" s="631" t="s">
        <v>91</v>
      </c>
      <c r="B38" s="49"/>
      <c r="C38" s="734" t="e">
        <f>'Sheet 3'!J156</f>
        <v>#NUM!</v>
      </c>
      <c r="D38" s="51" t="s">
        <v>403</v>
      </c>
      <c r="E38" s="710" t="s">
        <v>129</v>
      </c>
      <c r="F38" s="711"/>
    </row>
    <row r="39" spans="1:6" x14ac:dyDescent="0.25">
      <c r="A39" s="631" t="s">
        <v>496</v>
      </c>
      <c r="B39" s="49" t="s">
        <v>38</v>
      </c>
      <c r="C39" s="725"/>
      <c r="D39" s="49" t="s">
        <v>1553</v>
      </c>
      <c r="E39" s="709"/>
      <c r="F39" s="711"/>
    </row>
    <row r="40" spans="1:6" ht="15.75" thickBot="1" x14ac:dyDescent="0.3">
      <c r="A40" s="726" t="s">
        <v>509</v>
      </c>
      <c r="B40" s="52" t="s">
        <v>38</v>
      </c>
      <c r="C40" s="735"/>
      <c r="D40" s="52" t="s">
        <v>404</v>
      </c>
      <c r="E40" s="712"/>
      <c r="F40" s="716"/>
    </row>
    <row r="41" spans="1:6" ht="15.75" thickBot="1" x14ac:dyDescent="0.3">
      <c r="A41" s="717"/>
      <c r="B41" s="57"/>
      <c r="C41" s="714"/>
      <c r="D41" s="57"/>
      <c r="E41" s="57"/>
      <c r="F41" s="57"/>
    </row>
    <row r="42" spans="1:6" ht="15.75" thickBot="1" x14ac:dyDescent="0.3">
      <c r="A42" s="831" t="s">
        <v>343</v>
      </c>
      <c r="B42" s="832"/>
      <c r="C42" s="832"/>
      <c r="D42" s="832"/>
      <c r="E42" s="832"/>
      <c r="F42" s="833"/>
    </row>
    <row r="43" spans="1:6" x14ac:dyDescent="0.25">
      <c r="A43" s="720" t="s">
        <v>97</v>
      </c>
      <c r="B43" s="50" t="s">
        <v>69</v>
      </c>
      <c r="C43" s="736"/>
      <c r="D43" s="50" t="s">
        <v>411</v>
      </c>
      <c r="E43" s="50" t="s">
        <v>1554</v>
      </c>
      <c r="F43" s="708"/>
    </row>
    <row r="44" spans="1:6" x14ac:dyDescent="0.25">
      <c r="A44" s="631" t="s">
        <v>240</v>
      </c>
      <c r="B44" s="49" t="s">
        <v>70</v>
      </c>
      <c r="C44" s="737"/>
      <c r="D44" s="49" t="s">
        <v>412</v>
      </c>
      <c r="E44" s="49" t="s">
        <v>1554</v>
      </c>
      <c r="F44" s="711"/>
    </row>
    <row r="45" spans="1:6" x14ac:dyDescent="0.25">
      <c r="A45" s="631" t="s">
        <v>222</v>
      </c>
      <c r="B45" s="49" t="s">
        <v>21</v>
      </c>
      <c r="C45" s="733">
        <f>'Sheet 9'!O32</f>
        <v>0</v>
      </c>
      <c r="D45" s="49" t="s">
        <v>413</v>
      </c>
      <c r="E45" s="709"/>
      <c r="F45" s="711"/>
    </row>
    <row r="46" spans="1:6" x14ac:dyDescent="0.25">
      <c r="A46" s="631" t="s">
        <v>223</v>
      </c>
      <c r="B46" s="49" t="s">
        <v>21</v>
      </c>
      <c r="C46" s="725"/>
      <c r="D46" s="49" t="s">
        <v>414</v>
      </c>
      <c r="E46" s="709"/>
      <c r="F46" s="711"/>
    </row>
    <row r="47" spans="1:6" x14ac:dyDescent="0.25">
      <c r="A47" s="631" t="s">
        <v>224</v>
      </c>
      <c r="B47" s="49" t="s">
        <v>228</v>
      </c>
      <c r="C47" s="644">
        <f>'System description'!C11</f>
        <v>0</v>
      </c>
      <c r="D47" s="49" t="s">
        <v>415</v>
      </c>
      <c r="E47" s="718" t="s">
        <v>1545</v>
      </c>
      <c r="F47" s="711"/>
    </row>
    <row r="48" spans="1:6" x14ac:dyDescent="0.25">
      <c r="A48" s="631" t="s">
        <v>241</v>
      </c>
      <c r="B48" s="49" t="s">
        <v>70</v>
      </c>
      <c r="C48" s="738"/>
      <c r="D48" s="49"/>
      <c r="E48" s="709"/>
      <c r="F48" s="711"/>
    </row>
    <row r="49" spans="1:6" x14ac:dyDescent="0.25">
      <c r="A49" s="631" t="s">
        <v>330</v>
      </c>
      <c r="B49" s="49" t="s">
        <v>70</v>
      </c>
      <c r="C49" s="739" t="e">
        <f>'Sheet 2'!C6</f>
        <v>#DIV/0!</v>
      </c>
      <c r="D49" s="49" t="s">
        <v>416</v>
      </c>
      <c r="E49" s="710" t="s">
        <v>128</v>
      </c>
      <c r="F49" s="711"/>
    </row>
    <row r="50" spans="1:6" x14ac:dyDescent="0.25">
      <c r="A50" s="631" t="s">
        <v>331</v>
      </c>
      <c r="B50" s="49" t="s">
        <v>70</v>
      </c>
      <c r="C50" s="740">
        <v>0.18</v>
      </c>
      <c r="D50" s="49" t="s">
        <v>1091</v>
      </c>
      <c r="E50" s="29"/>
      <c r="F50" s="711"/>
    </row>
    <row r="51" spans="1:6" x14ac:dyDescent="0.25">
      <c r="A51" s="631" t="s">
        <v>262</v>
      </c>
      <c r="B51" s="49" t="s">
        <v>70</v>
      </c>
      <c r="C51" s="738"/>
      <c r="D51" s="49" t="s">
        <v>418</v>
      </c>
      <c r="E51" s="709"/>
      <c r="F51" s="711"/>
    </row>
    <row r="52" spans="1:6" x14ac:dyDescent="0.25">
      <c r="A52" s="631" t="s">
        <v>1077</v>
      </c>
      <c r="B52" s="49" t="s">
        <v>21</v>
      </c>
      <c r="C52" s="741">
        <f>'Sheet 2'!C7</f>
        <v>0</v>
      </c>
      <c r="D52" s="49" t="s">
        <v>1081</v>
      </c>
      <c r="E52" s="710" t="s">
        <v>128</v>
      </c>
      <c r="F52" s="711"/>
    </row>
    <row r="53" spans="1:6" s="59" customFormat="1" x14ac:dyDescent="0.25">
      <c r="A53" s="631" t="s">
        <v>1078</v>
      </c>
      <c r="B53" s="49" t="s">
        <v>21</v>
      </c>
      <c r="C53" s="742">
        <f>'Sheet 1'!C7</f>
        <v>0</v>
      </c>
      <c r="D53" s="49" t="s">
        <v>1082</v>
      </c>
      <c r="E53" s="710" t="s">
        <v>337</v>
      </c>
      <c r="F53" s="711"/>
    </row>
    <row r="54" spans="1:6" x14ac:dyDescent="0.25">
      <c r="A54" s="631" t="s">
        <v>506</v>
      </c>
      <c r="B54" s="49" t="s">
        <v>21</v>
      </c>
      <c r="C54" s="742">
        <f>'Sheet 1'!C6</f>
        <v>0</v>
      </c>
      <c r="D54" s="49" t="s">
        <v>507</v>
      </c>
      <c r="E54" s="710" t="s">
        <v>337</v>
      </c>
      <c r="F54" s="711"/>
    </row>
    <row r="55" spans="1:6" x14ac:dyDescent="0.25">
      <c r="A55" s="631" t="s">
        <v>284</v>
      </c>
      <c r="B55" s="49" t="s">
        <v>70</v>
      </c>
      <c r="C55" s="743"/>
      <c r="D55" s="49"/>
      <c r="E55" s="709"/>
      <c r="F55" s="711"/>
    </row>
    <row r="56" spans="1:6" ht="15.75" thickBot="1" x14ac:dyDescent="0.3">
      <c r="A56" s="744" t="s">
        <v>118</v>
      </c>
      <c r="B56" s="52" t="s">
        <v>69</v>
      </c>
      <c r="C56" s="745">
        <f>'Sheet 8'!F13</f>
        <v>0</v>
      </c>
      <c r="D56" s="52"/>
      <c r="E56" s="713" t="s">
        <v>487</v>
      </c>
      <c r="F56" s="716"/>
    </row>
    <row r="57" spans="1:6" ht="15.75" thickBot="1" x14ac:dyDescent="0.3">
      <c r="A57" s="831" t="s">
        <v>342</v>
      </c>
      <c r="B57" s="832"/>
      <c r="C57" s="832"/>
      <c r="D57" s="832"/>
      <c r="E57" s="832"/>
      <c r="F57" s="833"/>
    </row>
    <row r="58" spans="1:6" x14ac:dyDescent="0.25">
      <c r="A58" s="720" t="s">
        <v>243</v>
      </c>
      <c r="B58" s="50" t="s">
        <v>288</v>
      </c>
      <c r="C58" s="736"/>
      <c r="D58" s="50" t="s">
        <v>425</v>
      </c>
      <c r="E58" s="834" t="s">
        <v>348</v>
      </c>
      <c r="F58" s="708"/>
    </row>
    <row r="59" spans="1:6" x14ac:dyDescent="0.25">
      <c r="A59" s="631" t="s">
        <v>248</v>
      </c>
      <c r="B59" s="49" t="s">
        <v>420</v>
      </c>
      <c r="C59" s="746"/>
      <c r="D59" s="49" t="s">
        <v>426</v>
      </c>
      <c r="E59" s="835"/>
      <c r="F59" s="711"/>
    </row>
    <row r="60" spans="1:6" x14ac:dyDescent="0.25">
      <c r="A60" s="631" t="s">
        <v>229</v>
      </c>
      <c r="B60" s="49" t="s">
        <v>422</v>
      </c>
      <c r="C60" s="746"/>
      <c r="D60" s="49" t="s">
        <v>427</v>
      </c>
      <c r="E60" s="835"/>
      <c r="F60" s="711"/>
    </row>
    <row r="61" spans="1:6" x14ac:dyDescent="0.25">
      <c r="A61" s="631" t="s">
        <v>231</v>
      </c>
      <c r="B61" s="49" t="s">
        <v>421</v>
      </c>
      <c r="C61" s="746"/>
      <c r="D61" s="49" t="s">
        <v>428</v>
      </c>
      <c r="E61" s="835"/>
      <c r="F61" s="711"/>
    </row>
    <row r="62" spans="1:6" x14ac:dyDescent="0.25">
      <c r="A62" s="631" t="s">
        <v>232</v>
      </c>
      <c r="B62" s="49" t="s">
        <v>423</v>
      </c>
      <c r="C62" s="746"/>
      <c r="D62" s="49" t="s">
        <v>429</v>
      </c>
      <c r="E62" s="835"/>
      <c r="F62" s="711"/>
    </row>
    <row r="63" spans="1:6" x14ac:dyDescent="0.25">
      <c r="A63" s="631" t="s">
        <v>253</v>
      </c>
      <c r="B63" s="49" t="s">
        <v>228</v>
      </c>
      <c r="C63" s="746"/>
      <c r="D63" s="49" t="s">
        <v>430</v>
      </c>
      <c r="E63" s="835"/>
      <c r="F63" s="711"/>
    </row>
    <row r="64" spans="1:6" ht="15.75" thickBot="1" x14ac:dyDescent="0.3">
      <c r="A64" s="726" t="s">
        <v>255</v>
      </c>
      <c r="B64" s="52" t="s">
        <v>424</v>
      </c>
      <c r="C64" s="747"/>
      <c r="D64" s="52" t="s">
        <v>431</v>
      </c>
      <c r="E64" s="836"/>
      <c r="F64" s="716"/>
    </row>
    <row r="65" spans="1:6" ht="15.75" thickBot="1" x14ac:dyDescent="0.3">
      <c r="A65" s="57"/>
      <c r="B65" s="57"/>
      <c r="C65" s="714"/>
      <c r="D65" s="57"/>
      <c r="E65" s="57"/>
      <c r="F65" s="57"/>
    </row>
    <row r="66" spans="1:6" ht="15.75" thickBot="1" x14ac:dyDescent="0.3">
      <c r="A66" s="831" t="s">
        <v>345</v>
      </c>
      <c r="B66" s="832"/>
      <c r="C66" s="832"/>
      <c r="D66" s="832"/>
      <c r="E66" s="832"/>
      <c r="F66" s="833"/>
    </row>
    <row r="67" spans="1:6" x14ac:dyDescent="0.25">
      <c r="A67" s="748" t="s">
        <v>105</v>
      </c>
      <c r="B67" s="50" t="s">
        <v>69</v>
      </c>
      <c r="C67" s="749">
        <f>'Sheet 7'!D13</f>
        <v>0</v>
      </c>
      <c r="D67" s="33" t="s">
        <v>432</v>
      </c>
      <c r="E67" s="707" t="s">
        <v>396</v>
      </c>
      <c r="F67" s="708"/>
    </row>
    <row r="68" spans="1:6" x14ac:dyDescent="0.25">
      <c r="A68" s="631" t="s">
        <v>52</v>
      </c>
      <c r="B68" s="49" t="s">
        <v>71</v>
      </c>
      <c r="C68" s="750"/>
      <c r="D68" s="49" t="s">
        <v>1073</v>
      </c>
      <c r="E68" s="709"/>
      <c r="F68" s="711"/>
    </row>
    <row r="69" spans="1:6" ht="45" x14ac:dyDescent="0.25">
      <c r="A69" s="751" t="s">
        <v>352</v>
      </c>
      <c r="B69" s="49"/>
      <c r="C69" s="752"/>
      <c r="D69" s="51" t="s">
        <v>364</v>
      </c>
      <c r="E69" s="719" t="s">
        <v>441</v>
      </c>
      <c r="F69" s="711"/>
    </row>
    <row r="70" spans="1:6" x14ac:dyDescent="0.25">
      <c r="A70" s="751" t="s">
        <v>363</v>
      </c>
      <c r="B70" s="49" t="s">
        <v>70</v>
      </c>
      <c r="C70" s="753"/>
      <c r="D70" s="49" t="s">
        <v>183</v>
      </c>
      <c r="E70" s="719"/>
      <c r="F70" s="711"/>
    </row>
    <row r="71" spans="1:6" ht="45" x14ac:dyDescent="0.25">
      <c r="A71" s="751" t="s">
        <v>206</v>
      </c>
      <c r="B71" s="49" t="s">
        <v>167</v>
      </c>
      <c r="C71" s="752"/>
      <c r="D71" s="51" t="s">
        <v>368</v>
      </c>
      <c r="E71" s="719" t="s">
        <v>441</v>
      </c>
      <c r="F71" s="711"/>
    </row>
    <row r="72" spans="1:6" ht="30" x14ac:dyDescent="0.25">
      <c r="A72" s="751" t="s">
        <v>269</v>
      </c>
      <c r="B72" s="49"/>
      <c r="C72" s="752"/>
      <c r="D72" s="51" t="s">
        <v>376</v>
      </c>
      <c r="E72" s="719" t="s">
        <v>441</v>
      </c>
      <c r="F72" s="711"/>
    </row>
    <row r="73" spans="1:6" x14ac:dyDescent="0.25">
      <c r="A73" s="751" t="s">
        <v>460</v>
      </c>
      <c r="B73" s="49" t="s">
        <v>69</v>
      </c>
      <c r="C73" s="754"/>
      <c r="D73" s="51" t="s">
        <v>497</v>
      </c>
      <c r="E73" s="709"/>
      <c r="F73" s="711"/>
    </row>
    <row r="74" spans="1:6" ht="15.75" thickBot="1" x14ac:dyDescent="0.3">
      <c r="A74" s="755" t="s">
        <v>1074</v>
      </c>
      <c r="B74" s="52" t="s">
        <v>365</v>
      </c>
      <c r="C74" s="756"/>
      <c r="D74" s="52" t="s">
        <v>1075</v>
      </c>
      <c r="E74" s="31"/>
      <c r="F74" s="716"/>
    </row>
  </sheetData>
  <mergeCells count="7">
    <mergeCell ref="A66:F66"/>
    <mergeCell ref="A3:F3"/>
    <mergeCell ref="A16:F16"/>
    <mergeCell ref="A31:F31"/>
    <mergeCell ref="A42:F42"/>
    <mergeCell ref="A57:F57"/>
    <mergeCell ref="E58:E64"/>
  </mergeCells>
  <phoneticPr fontId="8" type="noConversion"/>
  <dataValidations count="3">
    <dataValidation type="list" allowBlank="1" showInputMessage="1" showErrorMessage="1" sqref="C72" xr:uid="{D333D80D-AB51-4A98-9CAE-C7CE2D78B93F}">
      <formula1>"Option 1, Option 2"</formula1>
    </dataValidation>
    <dataValidation type="list" allowBlank="1" showInputMessage="1" showErrorMessage="1" sqref="C69 C29 C71:C72" xr:uid="{446E3171-3FB5-467F-B56B-B274277EDD48}">
      <formula1>"Option 1, Option 2, Option 3"</formula1>
    </dataValidation>
    <dataValidation type="list" allowBlank="1" showInputMessage="1" showErrorMessage="1" sqref="C28" xr:uid="{0F1BF834-9463-4A0C-9C3F-C51832529F35}">
      <formula1>"Yes,No"</formula1>
    </dataValidation>
  </dataValidations>
  <hyperlinks>
    <hyperlink ref="E4" location="'Sheet 4'!A1" display="Sheet 4" xr:uid="{0DAB6FB4-0231-4BFB-A337-F5DBCDDC815A}"/>
    <hyperlink ref="E10" location="'Sheet 5 (To modify)'!A1" display="Sheet 5" xr:uid="{4F408108-95A6-4DC5-AC98-6CA3567E522B}"/>
    <hyperlink ref="E13" location="'Sheet 6'!A1" display="Sheet 6" xr:uid="{4FD7A636-1B13-49A1-B2F4-960288CCE746}"/>
    <hyperlink ref="E32" location="'Sheet 3 (to modify)'!A1" display="Sheet 3" xr:uid="{F0A0638A-C23C-42FD-81A4-4802D34548A0}"/>
    <hyperlink ref="E56" location="'Sheet 8'!A1" display="Sheet 8" xr:uid="{C512E30D-CB91-4A85-BCE6-30570924E9B0}"/>
    <hyperlink ref="E67" location="'Sheet 7'!A1" display="Sheet 7" xr:uid="{D3E38A87-56EE-4669-9EE6-539FCED86091}"/>
    <hyperlink ref="E7" location="'Sheet 2'!A1" display="Sheet 2" xr:uid="{010C473F-23E5-49B8-B654-95EB3671F235}"/>
    <hyperlink ref="E5" r:id="rId1" location="'Sheet 1'!A1" xr:uid="{F923C8DD-0D54-409A-B1F0-F94044A4A58E}"/>
    <hyperlink ref="E6" r:id="rId2" location="'Sheet 1'!A1" xr:uid="{CEFE5579-A369-434C-B356-1499C45D7954}"/>
    <hyperlink ref="E9" r:id="rId3" location="'Sheet 1'!A1" xr:uid="{F7D709D7-840D-4563-8FBF-148AC78E3266}"/>
    <hyperlink ref="E53" r:id="rId4" location="'Sheet 1'!A1" xr:uid="{4F10BC58-CD17-458D-BCF7-D91E57256D32}"/>
    <hyperlink ref="E54" r:id="rId5" location="'Sheet 1'!A1" xr:uid="{ABD0703E-8D96-409D-A3DC-C92B17AC65EC}"/>
    <hyperlink ref="E14" location="'Sheet 2'!A1" display="Sheet 2" xr:uid="{EC9D139A-82EB-4DD6-80CA-9A290B77AD55}"/>
    <hyperlink ref="E49" location="'Sheet 2'!A1" display="Sheet 2" xr:uid="{6AA1FA94-7BE7-464F-B61E-FDED32A786CC}"/>
    <hyperlink ref="E52" location="'Sheet 2'!A1" display="Sheet 2" xr:uid="{CD48972F-359C-482C-A4F2-C897A6341509}"/>
    <hyperlink ref="E33" location="'Sheet 3 (to modify)'!A1" display="Sheet 3" xr:uid="{1952E939-08F6-4E68-9A2C-53F95106BDF3}"/>
    <hyperlink ref="E34" location="'Sheet 3 (to modify)'!A1" display="Sheet 3" xr:uid="{AD49729A-B75A-4F4D-982C-727649D2A114}"/>
    <hyperlink ref="E35" location="'Sheet 3 (to modify)'!A1" display="Sheet 3" xr:uid="{1663A979-E48E-433A-8BDA-A781224CE890}"/>
    <hyperlink ref="E37" location="'Sheet 3 (to modify)'!A1" display="Sheet 3" xr:uid="{B1AC25C6-476B-4505-BBF1-FDCC03BF97F2}"/>
    <hyperlink ref="E38" location="'Sheet 3 (to modify)'!A1" display="Sheet 3" xr:uid="{190891E9-3927-49EC-A4EF-48EC5841D5BA}"/>
    <hyperlink ref="E47" location="'System description'!A1" display="'System description'!A1" xr:uid="{BE409E08-63C9-4146-963B-0A164E3BBF1C}"/>
    <hyperlink ref="E8" r:id="rId6" location="'Sheet 1'!A1" xr:uid="{D8063EAA-BA39-4863-BCF7-0FDBAAE60F14}"/>
  </hyperlinks>
  <pageMargins left="0.7" right="0.7" top="0.75" bottom="0.75" header="0.3" footer="0.3"/>
  <pageSetup paperSize="9" orientation="portrait" r:id="rId7"/>
  <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6B7CB-D04C-4FEF-A9FF-4B1956229A88}">
  <sheetPr codeName="Feuil14">
    <tabColor theme="2" tint="-0.499984740745262"/>
  </sheetPr>
  <dimension ref="A1:T64"/>
  <sheetViews>
    <sheetView topLeftCell="D1" workbookViewId="0">
      <selection activeCell="H16" sqref="H16:H27"/>
    </sheetView>
  </sheetViews>
  <sheetFormatPr baseColWidth="10" defaultColWidth="10.7109375" defaultRowHeight="15" x14ac:dyDescent="0.25"/>
  <cols>
    <col min="1" max="1" width="14.7109375" customWidth="1"/>
    <col min="2" max="2" width="44.42578125" customWidth="1"/>
    <col min="3" max="3" width="23.42578125" bestFit="1" customWidth="1"/>
    <col min="4" max="4" width="20.42578125" bestFit="1" customWidth="1"/>
    <col min="5" max="5" width="21.42578125" style="68" bestFit="1" customWidth="1"/>
    <col min="6" max="6" width="21.42578125" style="68" customWidth="1"/>
    <col min="7" max="7" width="24" style="68" bestFit="1" customWidth="1"/>
    <col min="8" max="8" width="34.42578125" style="68" bestFit="1" customWidth="1"/>
    <col min="9" max="9" width="16.42578125" style="68" bestFit="1" customWidth="1"/>
    <col min="10" max="10" width="19.42578125" style="68" bestFit="1" customWidth="1"/>
    <col min="11" max="11" width="21" customWidth="1"/>
    <col min="12" max="12" width="22.42578125" bestFit="1" customWidth="1"/>
    <col min="13" max="13" width="31.140625" bestFit="1" customWidth="1"/>
  </cols>
  <sheetData>
    <row r="1" spans="1:20" ht="20.25" thickBot="1" x14ac:dyDescent="0.35">
      <c r="A1" s="838" t="s">
        <v>1555</v>
      </c>
      <c r="B1" s="838"/>
      <c r="C1" s="838"/>
      <c r="D1" s="838"/>
      <c r="E1" s="838"/>
      <c r="F1" s="838"/>
      <c r="G1" s="838"/>
      <c r="H1" s="838"/>
      <c r="I1" s="838"/>
      <c r="J1" s="82"/>
    </row>
    <row r="2" spans="1:20" ht="15.75" thickTop="1" x14ac:dyDescent="0.25"/>
    <row r="3" spans="1:20" s="59" customFormat="1" x14ac:dyDescent="0.25">
      <c r="A3" s="837" t="s">
        <v>1096</v>
      </c>
      <c r="B3" s="837"/>
      <c r="C3" s="465">
        <f>SUM(E16:E27)-SUM(C16:C27)+SUM(D16:D27)</f>
        <v>0</v>
      </c>
      <c r="E3" s="68"/>
      <c r="F3" s="68"/>
      <c r="G3" s="68"/>
      <c r="H3" s="68"/>
      <c r="I3" s="68"/>
      <c r="J3" s="68"/>
    </row>
    <row r="4" spans="1:20" s="59" customFormat="1" x14ac:dyDescent="0.25">
      <c r="A4" s="837" t="s">
        <v>1097</v>
      </c>
      <c r="B4" s="837"/>
      <c r="C4" s="130">
        <f>SUM(E16:E27)</f>
        <v>0</v>
      </c>
      <c r="E4" s="68"/>
      <c r="F4" s="68"/>
      <c r="G4" s="68"/>
      <c r="H4" s="68"/>
      <c r="I4" s="68"/>
      <c r="J4" s="68"/>
    </row>
    <row r="5" spans="1:20" s="59" customFormat="1" x14ac:dyDescent="0.25">
      <c r="A5" s="839" t="s">
        <v>1546</v>
      </c>
      <c r="B5" s="840"/>
      <c r="C5" s="130">
        <f>(SUMPRODUCT(E16:E27,I16:I27)/1000)</f>
        <v>0</v>
      </c>
      <c r="E5" s="68"/>
      <c r="F5" s="68"/>
      <c r="G5" s="68"/>
      <c r="H5" s="68"/>
      <c r="I5" s="68"/>
      <c r="J5" s="68"/>
    </row>
    <row r="6" spans="1:20" x14ac:dyDescent="0.25">
      <c r="A6" s="837" t="s">
        <v>1043</v>
      </c>
      <c r="B6" s="841"/>
      <c r="C6" s="130">
        <f>(SUMPRODUCT(E16:E27,M16:M27))</f>
        <v>0</v>
      </c>
    </row>
    <row r="7" spans="1:20" x14ac:dyDescent="0.25">
      <c r="A7" s="837" t="s">
        <v>1080</v>
      </c>
      <c r="B7" s="837"/>
      <c r="C7" s="130">
        <f>(SUMPRODUCT(C16:C27,M16:M27))</f>
        <v>0</v>
      </c>
    </row>
    <row r="9" spans="1:20" x14ac:dyDescent="0.25">
      <c r="A9" s="837" t="s">
        <v>1085</v>
      </c>
      <c r="B9" s="837"/>
      <c r="C9" s="130">
        <f>SUM(E16:E27)</f>
        <v>0</v>
      </c>
      <c r="E9" s="84"/>
      <c r="F9" s="84"/>
      <c r="G9" s="84"/>
      <c r="H9" s="84"/>
      <c r="I9" s="84"/>
      <c r="J9" s="84"/>
      <c r="K9" s="84"/>
    </row>
    <row r="10" spans="1:20" x14ac:dyDescent="0.25">
      <c r="A10" s="837" t="s">
        <v>1084</v>
      </c>
      <c r="B10" s="837"/>
      <c r="C10" s="129" t="e">
        <f>SUM(H16:H27)/C9</f>
        <v>#DIV/0!</v>
      </c>
      <c r="E10" s="69"/>
      <c r="F10" s="69"/>
      <c r="G10" s="69"/>
      <c r="H10" s="69"/>
      <c r="I10" s="69"/>
      <c r="J10" s="69"/>
      <c r="K10" s="60"/>
    </row>
    <row r="11" spans="1:20" s="59" customFormat="1" x14ac:dyDescent="0.25">
      <c r="A11" s="837" t="s">
        <v>1086</v>
      </c>
      <c r="B11" s="837"/>
      <c r="C11" s="129">
        <f>SUMPRODUCT(H16:H27)</f>
        <v>0</v>
      </c>
      <c r="E11" s="69"/>
      <c r="F11" s="69"/>
      <c r="G11" s="69"/>
      <c r="H11" s="69"/>
      <c r="I11" s="69"/>
      <c r="J11" s="69"/>
      <c r="K11" s="60"/>
    </row>
    <row r="12" spans="1:20" s="59" customFormat="1" x14ac:dyDescent="0.25">
      <c r="A12" s="146"/>
      <c r="B12" s="146" t="s">
        <v>1551</v>
      </c>
      <c r="C12" s="130">
        <f>SUM(F16:F27)</f>
        <v>0</v>
      </c>
      <c r="E12" s="69"/>
      <c r="F12" s="69"/>
      <c r="G12" s="69"/>
      <c r="H12" s="69"/>
      <c r="I12" s="69"/>
      <c r="J12" s="69"/>
      <c r="K12" s="60"/>
    </row>
    <row r="13" spans="1:20" s="59" customFormat="1" ht="15.75" thickBot="1" x14ac:dyDescent="0.3">
      <c r="A13" s="146"/>
      <c r="B13" s="146"/>
      <c r="C13" s="461"/>
      <c r="E13" s="69"/>
      <c r="F13" s="69"/>
      <c r="G13" s="69"/>
      <c r="H13" s="69"/>
      <c r="I13" s="69"/>
      <c r="J13" s="69"/>
      <c r="K13" s="60"/>
    </row>
    <row r="14" spans="1:20" s="59" customFormat="1" ht="15.75" thickBot="1" x14ac:dyDescent="0.3">
      <c r="A14" s="146"/>
      <c r="B14" s="820" t="s">
        <v>1458</v>
      </c>
      <c r="C14" s="830"/>
      <c r="D14" s="830"/>
      <c r="E14" s="830"/>
      <c r="F14" s="830"/>
      <c r="G14" s="830"/>
      <c r="H14" s="821"/>
      <c r="I14" s="842" t="s">
        <v>1487</v>
      </c>
      <c r="J14" s="843"/>
      <c r="K14" s="843"/>
      <c r="L14" s="843"/>
      <c r="M14" s="843"/>
      <c r="N14" s="844"/>
      <c r="O14" s="822" t="s">
        <v>1368</v>
      </c>
      <c r="P14" s="823"/>
      <c r="Q14" s="823"/>
      <c r="R14" s="823"/>
      <c r="S14" s="823"/>
      <c r="T14" s="824"/>
    </row>
    <row r="15" spans="1:20" s="59" customFormat="1" ht="15.75" thickBot="1" x14ac:dyDescent="0.3">
      <c r="A15" s="146"/>
      <c r="B15" s="658" t="s">
        <v>1459</v>
      </c>
      <c r="C15" s="659" t="s">
        <v>1079</v>
      </c>
      <c r="D15" s="660" t="s">
        <v>1122</v>
      </c>
      <c r="E15" s="661" t="s">
        <v>1071</v>
      </c>
      <c r="F15" s="661" t="s">
        <v>1550</v>
      </c>
      <c r="G15" s="661" t="s">
        <v>1083</v>
      </c>
      <c r="H15" s="657" t="s">
        <v>1460</v>
      </c>
      <c r="I15" s="507" t="s">
        <v>1046</v>
      </c>
      <c r="J15" s="462" t="s">
        <v>1478</v>
      </c>
      <c r="K15" s="462" t="s">
        <v>1479</v>
      </c>
      <c r="L15" s="462" t="s">
        <v>1480</v>
      </c>
      <c r="M15" s="508" t="s">
        <v>581</v>
      </c>
      <c r="N15" s="665" t="s">
        <v>1090</v>
      </c>
      <c r="O15" s="507" t="s">
        <v>1481</v>
      </c>
      <c r="P15" s="462" t="s">
        <v>1482</v>
      </c>
      <c r="Q15" s="462" t="s">
        <v>1483</v>
      </c>
      <c r="R15" s="462" t="s">
        <v>1484</v>
      </c>
      <c r="S15" s="462" t="s">
        <v>1485</v>
      </c>
      <c r="T15" s="163" t="s">
        <v>1486</v>
      </c>
    </row>
    <row r="16" spans="1:20" s="59" customFormat="1" x14ac:dyDescent="0.25">
      <c r="A16" s="146"/>
      <c r="B16" s="645"/>
      <c r="C16" s="646"/>
      <c r="D16" s="103"/>
      <c r="E16" s="647"/>
      <c r="F16" s="647"/>
      <c r="G16" s="654"/>
      <c r="H16" s="662">
        <f>G16*E16</f>
        <v>0</v>
      </c>
      <c r="I16" s="781" t="str">
        <f>IF(B16="","",VLOOKUP(B16,Table_coproducts[],3))</f>
        <v/>
      </c>
      <c r="J16" s="782" t="str">
        <f>IF(B16="","",VLOOKUP(B16,Table_coproducts[],4))</f>
        <v/>
      </c>
      <c r="K16" s="783" t="str">
        <f>IF(B16="","",VLOOKUP(B16,Table_coproducts[],5))</f>
        <v/>
      </c>
      <c r="L16" s="783" t="str">
        <f>IF(B16="","",VLOOKUP(B16,Table_coproducts[],6))</f>
        <v/>
      </c>
      <c r="M16" s="783" t="str">
        <f>IF(B16="","",VLOOKUP(B16,Table_coproducts[],7))</f>
        <v/>
      </c>
      <c r="N16" s="784" t="str">
        <f>IF(B16="","",VLOOKUP(B16,Table_coproducts[],8))</f>
        <v/>
      </c>
      <c r="O16" s="785" t="str">
        <f>IF(B16="","",VLOOKUP(B16,Table_coproducts[],9))</f>
        <v/>
      </c>
      <c r="P16" s="783" t="str">
        <f>IF(B16="","",VLOOKUP(B16,Table_coproducts[],10))</f>
        <v/>
      </c>
      <c r="Q16" s="783" t="str">
        <f>IF(B16="","",VLOOKUP(B16,Table_coproducts[],11))</f>
        <v/>
      </c>
      <c r="R16" s="783" t="str">
        <f>IF(B16="","",VLOOKUP(B16,Table_coproducts[],12))</f>
        <v/>
      </c>
      <c r="S16" s="783" t="str">
        <f>IF(B16="","",VLOOKUP(B16,Table_coproducts[],13))</f>
        <v/>
      </c>
      <c r="T16" s="786" t="str">
        <f>IF(B16="","",VLOOKUP(B16,Table_coproducts[],14))</f>
        <v/>
      </c>
    </row>
    <row r="17" spans="1:20" s="59" customFormat="1" x14ac:dyDescent="0.25">
      <c r="A17" s="146"/>
      <c r="B17" s="648"/>
      <c r="C17" s="649"/>
      <c r="D17" s="109"/>
      <c r="E17" s="650"/>
      <c r="F17" s="650"/>
      <c r="G17" s="655"/>
      <c r="H17" s="663">
        <f t="shared" ref="H17:H27" si="0">G17*E17</f>
        <v>0</v>
      </c>
      <c r="I17" s="787" t="str">
        <f>IF(B17="","",VLOOKUP(B17,Table_coproducts[],3))</f>
        <v/>
      </c>
      <c r="J17" s="788" t="str">
        <f>IF(B17="","",VLOOKUP(B17,Table_coproducts[],4))</f>
        <v/>
      </c>
      <c r="K17" s="789" t="str">
        <f>IF(B17="","",VLOOKUP(B17,Table_coproducts[],5))</f>
        <v/>
      </c>
      <c r="L17" s="789" t="str">
        <f>IF(B17="","",VLOOKUP(B17,Table_coproducts[],6))</f>
        <v/>
      </c>
      <c r="M17" s="789" t="str">
        <f>IF(B17="","",VLOOKUP(B17,Table_coproducts[],7))</f>
        <v/>
      </c>
      <c r="N17" s="790" t="str">
        <f>IF(B17="","",VLOOKUP(B17,Table_coproducts[],8))</f>
        <v/>
      </c>
      <c r="O17" s="791" t="str">
        <f>IF(B17="","",VLOOKUP(B17,Table_coproducts[],9))</f>
        <v/>
      </c>
      <c r="P17" s="789" t="str">
        <f>IF(B17="","",VLOOKUP(B17,Table_coproducts[],10))</f>
        <v/>
      </c>
      <c r="Q17" s="789" t="str">
        <f>IF(B17="","",VLOOKUP(B17,Table_coproducts[],11))</f>
        <v/>
      </c>
      <c r="R17" s="789" t="str">
        <f>IF(B17="","",VLOOKUP(B17,Table_coproducts[],12))</f>
        <v/>
      </c>
      <c r="S17" s="789" t="str">
        <f>IF(B17="","",VLOOKUP(B17,Table_coproducts[],13))</f>
        <v/>
      </c>
      <c r="T17" s="792" t="str">
        <f>IF(B17="","",VLOOKUP(B17,Table_coproducts[],14))</f>
        <v/>
      </c>
    </row>
    <row r="18" spans="1:20" s="59" customFormat="1" x14ac:dyDescent="0.25">
      <c r="A18" s="146"/>
      <c r="B18" s="648"/>
      <c r="C18" s="649"/>
      <c r="D18" s="109"/>
      <c r="E18" s="650"/>
      <c r="F18" s="650"/>
      <c r="G18" s="655"/>
      <c r="H18" s="663">
        <f t="shared" si="0"/>
        <v>0</v>
      </c>
      <c r="I18" s="787" t="str">
        <f>IF(B18="","",VLOOKUP(B18,Table_coproducts[],3))</f>
        <v/>
      </c>
      <c r="J18" s="788" t="str">
        <f>IF(B18="","",VLOOKUP(B18,Table_coproducts[],4))</f>
        <v/>
      </c>
      <c r="K18" s="789" t="str">
        <f>IF(B18="","",VLOOKUP(B18,Table_coproducts[],5))</f>
        <v/>
      </c>
      <c r="L18" s="789" t="str">
        <f>IF(B18="","",VLOOKUP(B18,Table_coproducts[],6))</f>
        <v/>
      </c>
      <c r="M18" s="789" t="str">
        <f>IF(B18="","",VLOOKUP(B18,Table_coproducts[],7))</f>
        <v/>
      </c>
      <c r="N18" s="790" t="str">
        <f>IF(B18="","",VLOOKUP(B18,Table_coproducts[],8))</f>
        <v/>
      </c>
      <c r="O18" s="791" t="str">
        <f>IF(B18="","",VLOOKUP(B18,Table_coproducts[],9))</f>
        <v/>
      </c>
      <c r="P18" s="789" t="str">
        <f>IF(B18="","",VLOOKUP(B18,Table_coproducts[],10))</f>
        <v/>
      </c>
      <c r="Q18" s="789" t="str">
        <f>IF(B18="","",VLOOKUP(B18,Table_coproducts[],11))</f>
        <v/>
      </c>
      <c r="R18" s="789" t="str">
        <f>IF(B18="","",VLOOKUP(B18,Table_coproducts[],12))</f>
        <v/>
      </c>
      <c r="S18" s="789" t="str">
        <f>IF(B18="","",VLOOKUP(B18,Table_coproducts[],13))</f>
        <v/>
      </c>
      <c r="T18" s="792" t="str">
        <f>IF(B18="","",VLOOKUP(B18,Table_coproducts[],14))</f>
        <v/>
      </c>
    </row>
    <row r="19" spans="1:20" s="59" customFormat="1" x14ac:dyDescent="0.25">
      <c r="A19" s="146"/>
      <c r="B19" s="648"/>
      <c r="C19" s="649"/>
      <c r="D19" s="109"/>
      <c r="E19" s="650"/>
      <c r="F19" s="650"/>
      <c r="G19" s="655"/>
      <c r="H19" s="663">
        <f t="shared" si="0"/>
        <v>0</v>
      </c>
      <c r="I19" s="787" t="str">
        <f>IF(B19="","",VLOOKUP(B19,Table_coproducts[],3))</f>
        <v/>
      </c>
      <c r="J19" s="788" t="str">
        <f>IF(B19="","",VLOOKUP(B19,Table_coproducts[],4))</f>
        <v/>
      </c>
      <c r="K19" s="789" t="str">
        <f>IF(B19="","",VLOOKUP(B19,Table_coproducts[],5))</f>
        <v/>
      </c>
      <c r="L19" s="789" t="str">
        <f>IF(B19="","",VLOOKUP(B19,Table_coproducts[],6))</f>
        <v/>
      </c>
      <c r="M19" s="789" t="str">
        <f>IF(B19="","",VLOOKUP(B19,Table_coproducts[],7))</f>
        <v/>
      </c>
      <c r="N19" s="790" t="str">
        <f>IF(B19="","",VLOOKUP(B19,Table_coproducts[],8))</f>
        <v/>
      </c>
      <c r="O19" s="791" t="str">
        <f>IF(B19="","",VLOOKUP(B19,Table_coproducts[],9))</f>
        <v/>
      </c>
      <c r="P19" s="789" t="str">
        <f>IF(B19="","",VLOOKUP(B19,Table_coproducts[],10))</f>
        <v/>
      </c>
      <c r="Q19" s="789" t="str">
        <f>IF(B19="","",VLOOKUP(B19,Table_coproducts[],11))</f>
        <v/>
      </c>
      <c r="R19" s="789" t="str">
        <f>IF(B19="","",VLOOKUP(B19,Table_coproducts[],12))</f>
        <v/>
      </c>
      <c r="S19" s="789" t="str">
        <f>IF(B19="","",VLOOKUP(B19,Table_coproducts[],13))</f>
        <v/>
      </c>
      <c r="T19" s="792" t="str">
        <f>IF(B19="","",VLOOKUP(B19,Table_coproducts[],14))</f>
        <v/>
      </c>
    </row>
    <row r="20" spans="1:20" s="59" customFormat="1" x14ac:dyDescent="0.25">
      <c r="A20" s="146"/>
      <c r="B20" s="648"/>
      <c r="C20" s="649"/>
      <c r="D20" s="109"/>
      <c r="E20" s="650"/>
      <c r="F20" s="650"/>
      <c r="G20" s="655"/>
      <c r="H20" s="663">
        <f t="shared" si="0"/>
        <v>0</v>
      </c>
      <c r="I20" s="787" t="str">
        <f>IF(B20="","",VLOOKUP(B20,Table_coproducts[],3))</f>
        <v/>
      </c>
      <c r="J20" s="788" t="str">
        <f>IF(B20="","",VLOOKUP(B20,Table_coproducts[],4))</f>
        <v/>
      </c>
      <c r="K20" s="789" t="str">
        <f>IF(B20="","",VLOOKUP(B20,Table_coproducts[],5))</f>
        <v/>
      </c>
      <c r="L20" s="789" t="str">
        <f>IF(B20="","",VLOOKUP(B20,Table_coproducts[],6))</f>
        <v/>
      </c>
      <c r="M20" s="789" t="str">
        <f>IF(B20="","",VLOOKUP(B20,Table_coproducts[],7))</f>
        <v/>
      </c>
      <c r="N20" s="790" t="str">
        <f>IF(B20="","",VLOOKUP(B20,Table_coproducts[],8))</f>
        <v/>
      </c>
      <c r="O20" s="791" t="str">
        <f>IF(B20="","",VLOOKUP(B20,Table_coproducts[],9))</f>
        <v/>
      </c>
      <c r="P20" s="789" t="str">
        <f>IF(B20="","",VLOOKUP(B20,Table_coproducts[],10))</f>
        <v/>
      </c>
      <c r="Q20" s="789" t="str">
        <f>IF(B20="","",VLOOKUP(B20,Table_coproducts[],11))</f>
        <v/>
      </c>
      <c r="R20" s="789" t="str">
        <f>IF(B20="","",VLOOKUP(B20,Table_coproducts[],12))</f>
        <v/>
      </c>
      <c r="S20" s="789" t="str">
        <f>IF(B20="","",VLOOKUP(B20,Table_coproducts[],13))</f>
        <v/>
      </c>
      <c r="T20" s="792" t="str">
        <f>IF(B20="","",VLOOKUP(B20,Table_coproducts[],14))</f>
        <v/>
      </c>
    </row>
    <row r="21" spans="1:20" s="59" customFormat="1" x14ac:dyDescent="0.25">
      <c r="A21" s="146"/>
      <c r="B21" s="648"/>
      <c r="C21" s="649"/>
      <c r="D21" s="109"/>
      <c r="E21" s="650"/>
      <c r="F21" s="650"/>
      <c r="G21" s="655"/>
      <c r="H21" s="663">
        <f t="shared" si="0"/>
        <v>0</v>
      </c>
      <c r="I21" s="787" t="str">
        <f>IF(B21="","",VLOOKUP(B21,Table_coproducts[],3))</f>
        <v/>
      </c>
      <c r="J21" s="788" t="str">
        <f>IF(B21="","",VLOOKUP(B21,Table_coproducts[],4))</f>
        <v/>
      </c>
      <c r="K21" s="789" t="str">
        <f>IF(B21="","",VLOOKUP(B21,Table_coproducts[],5))</f>
        <v/>
      </c>
      <c r="L21" s="789" t="str">
        <f>IF(B21="","",VLOOKUP(B21,Table_coproducts[],6))</f>
        <v/>
      </c>
      <c r="M21" s="789" t="str">
        <f>IF(B21="","",VLOOKUP(B21,Table_coproducts[],7))</f>
        <v/>
      </c>
      <c r="N21" s="790" t="str">
        <f>IF(B21="","",VLOOKUP(B21,Table_coproducts[],8))</f>
        <v/>
      </c>
      <c r="O21" s="791" t="str">
        <f>IF(B21="","",VLOOKUP(B21,Table_coproducts[],9))</f>
        <v/>
      </c>
      <c r="P21" s="789" t="str">
        <f>IF(B21="","",VLOOKUP(B21,Table_coproducts[],10))</f>
        <v/>
      </c>
      <c r="Q21" s="789" t="str">
        <f>IF(B21="","",VLOOKUP(B21,Table_coproducts[],11))</f>
        <v/>
      </c>
      <c r="R21" s="789" t="str">
        <f>IF(B21="","",VLOOKUP(B21,Table_coproducts[],12))</f>
        <v/>
      </c>
      <c r="S21" s="789" t="str">
        <f>IF(B21="","",VLOOKUP(B21,Table_coproducts[],13))</f>
        <v/>
      </c>
      <c r="T21" s="792" t="str">
        <f>IF(B21="","",VLOOKUP(B21,Table_coproducts[],14))</f>
        <v/>
      </c>
    </row>
    <row r="22" spans="1:20" s="59" customFormat="1" x14ac:dyDescent="0.25">
      <c r="A22" s="146"/>
      <c r="B22" s="648"/>
      <c r="C22" s="649"/>
      <c r="D22" s="109"/>
      <c r="E22" s="650"/>
      <c r="F22" s="650"/>
      <c r="G22" s="655"/>
      <c r="H22" s="663">
        <f t="shared" si="0"/>
        <v>0</v>
      </c>
      <c r="I22" s="787" t="str">
        <f>IF(B22="","",VLOOKUP(B22,Table_coproducts[],3))</f>
        <v/>
      </c>
      <c r="J22" s="788" t="str">
        <f>IF(B22="","",VLOOKUP(B22,Table_coproducts[],4))</f>
        <v/>
      </c>
      <c r="K22" s="789" t="str">
        <f>IF(B22="","",VLOOKUP(B22,Table_coproducts[],5))</f>
        <v/>
      </c>
      <c r="L22" s="789" t="str">
        <f>IF(B22="","",VLOOKUP(B22,Table_coproducts[],6))</f>
        <v/>
      </c>
      <c r="M22" s="789" t="str">
        <f>IF(B22="","",VLOOKUP(B22,Table_coproducts[],7))</f>
        <v/>
      </c>
      <c r="N22" s="790" t="str">
        <f>IF(B22="","",VLOOKUP(B22,Table_coproducts[],8))</f>
        <v/>
      </c>
      <c r="O22" s="791" t="str">
        <f>IF(B22="","",VLOOKUP(B22,Table_coproducts[],9))</f>
        <v/>
      </c>
      <c r="P22" s="789" t="str">
        <f>IF(B22="","",VLOOKUP(B22,Table_coproducts[],10))</f>
        <v/>
      </c>
      <c r="Q22" s="789" t="str">
        <f>IF(B22="","",VLOOKUP(B22,Table_coproducts[],11))</f>
        <v/>
      </c>
      <c r="R22" s="789" t="str">
        <f>IF(B22="","",VLOOKUP(B22,Table_coproducts[],12))</f>
        <v/>
      </c>
      <c r="S22" s="789" t="str">
        <f>IF(B22="","",VLOOKUP(B22,Table_coproducts[],13))</f>
        <v/>
      </c>
      <c r="T22" s="792" t="str">
        <f>IF(B22="","",VLOOKUP(B22,Table_coproducts[],14))</f>
        <v/>
      </c>
    </row>
    <row r="23" spans="1:20" s="59" customFormat="1" x14ac:dyDescent="0.25">
      <c r="A23" s="146"/>
      <c r="B23" s="648"/>
      <c r="C23" s="649"/>
      <c r="D23" s="109"/>
      <c r="E23" s="650"/>
      <c r="F23" s="650"/>
      <c r="G23" s="655"/>
      <c r="H23" s="663">
        <f t="shared" si="0"/>
        <v>0</v>
      </c>
      <c r="I23" s="787" t="str">
        <f>IF(B23="","",VLOOKUP(B23,Table_coproducts[],3))</f>
        <v/>
      </c>
      <c r="J23" s="788" t="str">
        <f>IF(B23="","",VLOOKUP(B23,Table_coproducts[],4))</f>
        <v/>
      </c>
      <c r="K23" s="789" t="str">
        <f>IF(B23="","",VLOOKUP(B23,Table_coproducts[],5))</f>
        <v/>
      </c>
      <c r="L23" s="789" t="str">
        <f>IF(B23="","",VLOOKUP(B23,Table_coproducts[],6))</f>
        <v/>
      </c>
      <c r="M23" s="789" t="str">
        <f>IF(B23="","",VLOOKUP(B23,Table_coproducts[],7))</f>
        <v/>
      </c>
      <c r="N23" s="790" t="str">
        <f>IF(B23="","",VLOOKUP(B23,Table_coproducts[],8))</f>
        <v/>
      </c>
      <c r="O23" s="791" t="str">
        <f>IF(B23="","",VLOOKUP(B23,Table_coproducts[],9))</f>
        <v/>
      </c>
      <c r="P23" s="789" t="str">
        <f>IF(B23="","",VLOOKUP(B23,Table_coproducts[],10))</f>
        <v/>
      </c>
      <c r="Q23" s="789" t="str">
        <f>IF(B23="","",VLOOKUP(B23,Table_coproducts[],11))</f>
        <v/>
      </c>
      <c r="R23" s="789" t="str">
        <f>IF(B23="","",VLOOKUP(B23,Table_coproducts[],12))</f>
        <v/>
      </c>
      <c r="S23" s="789" t="str">
        <f>IF(B23="","",VLOOKUP(B23,Table_coproducts[],13))</f>
        <v/>
      </c>
      <c r="T23" s="792" t="str">
        <f>IF(B23="","",VLOOKUP(B23,Table_coproducts[],14))</f>
        <v/>
      </c>
    </row>
    <row r="24" spans="1:20" s="59" customFormat="1" x14ac:dyDescent="0.25">
      <c r="A24" s="146"/>
      <c r="B24" s="648"/>
      <c r="C24" s="649"/>
      <c r="D24" s="109"/>
      <c r="E24" s="650"/>
      <c r="F24" s="650"/>
      <c r="G24" s="655"/>
      <c r="H24" s="663">
        <f t="shared" si="0"/>
        <v>0</v>
      </c>
      <c r="I24" s="787" t="str">
        <f>IF(B24="","",VLOOKUP(B24,Table_coproducts[],3))</f>
        <v/>
      </c>
      <c r="J24" s="788" t="str">
        <f>IF(B24="","",VLOOKUP(B24,Table_coproducts[],4))</f>
        <v/>
      </c>
      <c r="K24" s="789" t="str">
        <f>IF(B24="","",VLOOKUP(B24,Table_coproducts[],5))</f>
        <v/>
      </c>
      <c r="L24" s="789" t="str">
        <f>IF(B24="","",VLOOKUP(B24,Table_coproducts[],6))</f>
        <v/>
      </c>
      <c r="M24" s="789" t="str">
        <f>IF(B24="","",VLOOKUP(B24,Table_coproducts[],7))</f>
        <v/>
      </c>
      <c r="N24" s="790" t="str">
        <f>IF(B24="","",VLOOKUP(B24,Table_coproducts[],8))</f>
        <v/>
      </c>
      <c r="O24" s="791" t="str">
        <f>IF(B24="","",VLOOKUP(B24,Table_coproducts[],9))</f>
        <v/>
      </c>
      <c r="P24" s="789" t="str">
        <f>IF(B24="","",VLOOKUP(B24,Table_coproducts[],10))</f>
        <v/>
      </c>
      <c r="Q24" s="789" t="str">
        <f>IF(B24="","",VLOOKUP(B24,Table_coproducts[],11))</f>
        <v/>
      </c>
      <c r="R24" s="789" t="str">
        <f>IF(B24="","",VLOOKUP(B24,Table_coproducts[],12))</f>
        <v/>
      </c>
      <c r="S24" s="789" t="str">
        <f>IF(B24="","",VLOOKUP(B24,Table_coproducts[],13))</f>
        <v/>
      </c>
      <c r="T24" s="792" t="str">
        <f>IF(B24="","",VLOOKUP(B24,Table_coproducts[],14))</f>
        <v/>
      </c>
    </row>
    <row r="25" spans="1:20" s="59" customFormat="1" x14ac:dyDescent="0.25">
      <c r="A25" s="146"/>
      <c r="B25" s="648"/>
      <c r="C25" s="649"/>
      <c r="D25" s="109"/>
      <c r="E25" s="650"/>
      <c r="F25" s="650"/>
      <c r="G25" s="655"/>
      <c r="H25" s="663">
        <f t="shared" si="0"/>
        <v>0</v>
      </c>
      <c r="I25" s="787" t="str">
        <f>IF(B25="","",VLOOKUP(B25,Table_coproducts[],3))</f>
        <v/>
      </c>
      <c r="J25" s="788" t="str">
        <f>IF(B25="","",VLOOKUP(B25,Table_coproducts[],4))</f>
        <v/>
      </c>
      <c r="K25" s="789" t="str">
        <f>IF(B25="","",VLOOKUP(B25,Table_coproducts[],5))</f>
        <v/>
      </c>
      <c r="L25" s="789" t="str">
        <f>IF(B25="","",VLOOKUP(B25,Table_coproducts[],6))</f>
        <v/>
      </c>
      <c r="M25" s="789" t="str">
        <f>IF(B25="","",VLOOKUP(B25,Table_coproducts[],7))</f>
        <v/>
      </c>
      <c r="N25" s="790" t="str">
        <f>IF(B25="","",VLOOKUP(B25,Table_coproducts[],8))</f>
        <v/>
      </c>
      <c r="O25" s="791" t="str">
        <f>IF(B25="","",VLOOKUP(B25,Table_coproducts[],9))</f>
        <v/>
      </c>
      <c r="P25" s="789" t="str">
        <f>IF(B25="","",VLOOKUP(B25,Table_coproducts[],10))</f>
        <v/>
      </c>
      <c r="Q25" s="789" t="str">
        <f>IF(B25="","",VLOOKUP(B25,Table_coproducts[],11))</f>
        <v/>
      </c>
      <c r="R25" s="789" t="str">
        <f>IF(B25="","",VLOOKUP(B25,Table_coproducts[],12))</f>
        <v/>
      </c>
      <c r="S25" s="789" t="str">
        <f>IF(B25="","",VLOOKUP(B25,Table_coproducts[],13))</f>
        <v/>
      </c>
      <c r="T25" s="792" t="str">
        <f>IF(B25="","",VLOOKUP(B25,Table_coproducts[],14))</f>
        <v/>
      </c>
    </row>
    <row r="26" spans="1:20" s="59" customFormat="1" x14ac:dyDescent="0.25">
      <c r="A26" s="146"/>
      <c r="B26" s="648"/>
      <c r="C26" s="649"/>
      <c r="D26" s="109"/>
      <c r="E26" s="650"/>
      <c r="F26" s="650"/>
      <c r="G26" s="655"/>
      <c r="H26" s="663">
        <f t="shared" si="0"/>
        <v>0</v>
      </c>
      <c r="I26" s="787" t="str">
        <f>IF(B26="","",VLOOKUP(B26,Table_coproducts[],3))</f>
        <v/>
      </c>
      <c r="J26" s="788" t="str">
        <f>IF(B26="","",VLOOKUP(B26,Table_coproducts[],4))</f>
        <v/>
      </c>
      <c r="K26" s="789" t="str">
        <f>IF(B26="","",VLOOKUP(B26,Table_coproducts[],5))</f>
        <v/>
      </c>
      <c r="L26" s="789" t="str">
        <f>IF(B26="","",VLOOKUP(B26,Table_coproducts[],6))</f>
        <v/>
      </c>
      <c r="M26" s="789" t="str">
        <f>IF(B26="","",VLOOKUP(B26,Table_coproducts[],7))</f>
        <v/>
      </c>
      <c r="N26" s="790" t="str">
        <f>IF(B26="","",VLOOKUP(B26,Table_coproducts[],8))</f>
        <v/>
      </c>
      <c r="O26" s="791" t="str">
        <f>IF(B26="","",VLOOKUP(B26,Table_coproducts[],9))</f>
        <v/>
      </c>
      <c r="P26" s="789" t="str">
        <f>IF(B26="","",VLOOKUP(B26,Table_coproducts[],10))</f>
        <v/>
      </c>
      <c r="Q26" s="789" t="str">
        <f>IF(B26="","",VLOOKUP(B26,Table_coproducts[],11))</f>
        <v/>
      </c>
      <c r="R26" s="789" t="str">
        <f>IF(B26="","",VLOOKUP(B26,Table_coproducts[],12))</f>
        <v/>
      </c>
      <c r="S26" s="789" t="str">
        <f>IF(B26="","",VLOOKUP(B26,Table_coproducts[],13))</f>
        <v/>
      </c>
      <c r="T26" s="792" t="str">
        <f>IF(B26="","",VLOOKUP(B26,Table_coproducts[],14))</f>
        <v/>
      </c>
    </row>
    <row r="27" spans="1:20" s="59" customFormat="1" ht="15.75" thickBot="1" x14ac:dyDescent="0.3">
      <c r="A27" s="146"/>
      <c r="B27" s="651"/>
      <c r="C27" s="652"/>
      <c r="D27" s="110"/>
      <c r="E27" s="653"/>
      <c r="F27" s="653"/>
      <c r="G27" s="656"/>
      <c r="H27" s="664">
        <f t="shared" si="0"/>
        <v>0</v>
      </c>
      <c r="I27" s="793" t="str">
        <f>IF(B27="","",VLOOKUP(B27,Table_coproducts[],3))</f>
        <v/>
      </c>
      <c r="J27" s="794" t="str">
        <f>IF(B27="","",VLOOKUP(B27,Table_coproducts[],4))</f>
        <v/>
      </c>
      <c r="K27" s="795" t="str">
        <f>IF(B27="","",VLOOKUP(B27,Table_coproducts[],5))</f>
        <v/>
      </c>
      <c r="L27" s="795" t="str">
        <f>IF(B27="","",VLOOKUP(B27,Table_coproducts[],6))</f>
        <v/>
      </c>
      <c r="M27" s="795" t="str">
        <f>IF(B27="","",VLOOKUP(B27,Table_coproducts[],7))</f>
        <v/>
      </c>
      <c r="N27" s="796" t="str">
        <f>IF(B27="","",VLOOKUP(B27,Table_coproducts[],8))</f>
        <v/>
      </c>
      <c r="O27" s="797" t="str">
        <f>IF(B27="","",VLOOKUP(B27,Table_coproducts[],9))</f>
        <v/>
      </c>
      <c r="P27" s="795" t="str">
        <f>IF(B27="","",VLOOKUP(B27,Table_coproducts[],10))</f>
        <v/>
      </c>
      <c r="Q27" s="795" t="str">
        <f>IF(B27="","",VLOOKUP(B27,Table_coproducts[],11))</f>
        <v/>
      </c>
      <c r="R27" s="795" t="str">
        <f>IF(B27="","",VLOOKUP(B27,Table_coproducts[],12))</f>
        <v/>
      </c>
      <c r="S27" s="795" t="str">
        <f>IF(B27="","",VLOOKUP(B27,Table_coproducts[],13))</f>
        <v/>
      </c>
      <c r="T27" s="798" t="str">
        <f>IF(B27="","",VLOOKUP(B27,Table_coproducts[],14))</f>
        <v/>
      </c>
    </row>
    <row r="28" spans="1:20" s="59" customFormat="1" ht="15.75" thickBot="1" x14ac:dyDescent="0.3">
      <c r="A28" s="146"/>
      <c r="B28" s="463"/>
      <c r="C28" s="461"/>
      <c r="D28" s="4"/>
      <c r="E28" s="464"/>
      <c r="F28" s="464"/>
      <c r="G28" s="464"/>
      <c r="H28" s="464"/>
      <c r="I28" s="69"/>
      <c r="J28" s="69"/>
      <c r="K28" s="60"/>
    </row>
    <row r="29" spans="1:20" ht="15.75" thickBot="1" x14ac:dyDescent="0.3">
      <c r="D29" s="820" t="s">
        <v>1487</v>
      </c>
      <c r="E29" s="830"/>
      <c r="F29" s="830"/>
      <c r="G29" s="830"/>
      <c r="H29" s="830"/>
      <c r="I29" s="830"/>
      <c r="J29" s="821"/>
      <c r="K29" s="820" t="s">
        <v>1368</v>
      </c>
      <c r="L29" s="830"/>
      <c r="M29" s="830"/>
      <c r="N29" s="830"/>
      <c r="O29" s="821"/>
      <c r="P29" s="643"/>
    </row>
    <row r="30" spans="1:20" x14ac:dyDescent="0.25">
      <c r="B30" s="59" t="s">
        <v>1549</v>
      </c>
      <c r="C30" s="59" t="s">
        <v>582</v>
      </c>
      <c r="D30" s="59" t="s">
        <v>1046</v>
      </c>
      <c r="E30" s="60" t="s">
        <v>1478</v>
      </c>
      <c r="F30" s="60" t="s">
        <v>1479</v>
      </c>
      <c r="G30" s="60" t="s">
        <v>1480</v>
      </c>
      <c r="H30" s="69" t="s">
        <v>581</v>
      </c>
      <c r="I30" s="60" t="s">
        <v>1090</v>
      </c>
      <c r="J30" s="60" t="s">
        <v>1481</v>
      </c>
      <c r="K30" s="60" t="s">
        <v>1482</v>
      </c>
      <c r="L30" s="60" t="s">
        <v>1483</v>
      </c>
      <c r="M30" s="60" t="s">
        <v>1484</v>
      </c>
      <c r="N30" s="60" t="s">
        <v>1485</v>
      </c>
      <c r="O30" s="60" t="s">
        <v>1486</v>
      </c>
    </row>
    <row r="31" spans="1:20" x14ac:dyDescent="0.25">
      <c r="B31" s="59" t="s">
        <v>529</v>
      </c>
      <c r="C31" s="59" t="s">
        <v>530</v>
      </c>
      <c r="D31" s="63">
        <v>0.37819999999999998</v>
      </c>
      <c r="E31" s="499">
        <v>11.49</v>
      </c>
      <c r="F31" s="68">
        <v>0.16879999999999998</v>
      </c>
      <c r="G31" s="69">
        <v>0.18289999999999998</v>
      </c>
      <c r="H31" s="69">
        <v>2.7007999999999997E-2</v>
      </c>
      <c r="I31" s="69">
        <v>3.9000000000000003E-3</v>
      </c>
      <c r="J31" s="69">
        <v>0.92400000000000004</v>
      </c>
      <c r="K31" s="69">
        <v>0.94699999999999995</v>
      </c>
      <c r="L31" s="69">
        <v>0.71299999999999997</v>
      </c>
      <c r="M31" s="69">
        <v>0</v>
      </c>
      <c r="N31" s="69">
        <v>0.5</v>
      </c>
      <c r="O31" s="69">
        <v>0.5</v>
      </c>
    </row>
    <row r="32" spans="1:20" x14ac:dyDescent="0.25">
      <c r="B32" s="59" t="s">
        <v>531</v>
      </c>
      <c r="C32" s="59" t="s">
        <v>532</v>
      </c>
      <c r="D32" s="63">
        <v>0.25790000000000002</v>
      </c>
      <c r="E32" s="499">
        <v>6.2686666666666673</v>
      </c>
      <c r="F32" s="68">
        <v>0.16336666666666666</v>
      </c>
      <c r="G32" s="69">
        <v>5.8733333333333325E-2</v>
      </c>
      <c r="H32" s="69">
        <v>2.6138666666666664E-2</v>
      </c>
      <c r="I32" s="69">
        <v>6.1093333333333338E-3</v>
      </c>
      <c r="J32" s="69">
        <v>0.92400000000000004</v>
      </c>
      <c r="K32" s="69">
        <v>0.94699999999999995</v>
      </c>
      <c r="L32" s="69">
        <v>0.71299999999999997</v>
      </c>
      <c r="M32" s="69">
        <v>0</v>
      </c>
      <c r="N32" s="69">
        <v>0.5</v>
      </c>
      <c r="O32" s="69">
        <v>0.5</v>
      </c>
    </row>
    <row r="33" spans="2:15" x14ac:dyDescent="0.25">
      <c r="B33" s="59" t="s">
        <v>533</v>
      </c>
      <c r="C33" s="59" t="s">
        <v>534</v>
      </c>
      <c r="D33" s="63">
        <v>0.25850000000000001</v>
      </c>
      <c r="E33" s="499">
        <v>5.67</v>
      </c>
      <c r="F33" s="68">
        <v>0.1789</v>
      </c>
      <c r="G33" s="69">
        <v>3.2400000000000005E-2</v>
      </c>
      <c r="H33" s="69">
        <v>2.8624E-2</v>
      </c>
      <c r="I33" s="69">
        <v>8.3000000000000001E-3</v>
      </c>
      <c r="J33" s="69">
        <v>0.92400000000000004</v>
      </c>
      <c r="K33" s="69">
        <v>0.94699999999999995</v>
      </c>
      <c r="L33" s="69">
        <v>0.71299999999999997</v>
      </c>
      <c r="M33" s="69">
        <v>0</v>
      </c>
      <c r="N33" s="69">
        <v>0.5</v>
      </c>
      <c r="O33" s="69">
        <v>0.5</v>
      </c>
    </row>
    <row r="34" spans="2:15" x14ac:dyDescent="0.25">
      <c r="B34" s="59" t="s">
        <v>1042</v>
      </c>
      <c r="C34" s="59"/>
      <c r="D34" s="63">
        <v>0.22450000000000001</v>
      </c>
      <c r="E34" s="499">
        <v>6.1220000000000008</v>
      </c>
      <c r="F34" s="68">
        <v>0.16975999999999999</v>
      </c>
      <c r="G34" s="69">
        <v>5.3065000000000001E-2</v>
      </c>
      <c r="H34" s="69">
        <v>2.7161599999999998E-2</v>
      </c>
      <c r="I34" s="69">
        <v>9.0550000000000005E-3</v>
      </c>
      <c r="J34" s="69">
        <v>0.92400000000000004</v>
      </c>
      <c r="K34" s="69">
        <v>0.94699999999999995</v>
      </c>
      <c r="L34" s="69">
        <v>0.71299999999999997</v>
      </c>
      <c r="M34" s="69">
        <v>0</v>
      </c>
      <c r="N34" s="69">
        <v>0.5</v>
      </c>
      <c r="O34" s="69">
        <v>0.5</v>
      </c>
    </row>
    <row r="35" spans="2:15" x14ac:dyDescent="0.25">
      <c r="B35" s="59" t="s">
        <v>535</v>
      </c>
      <c r="C35" s="59" t="s">
        <v>536</v>
      </c>
      <c r="D35" s="63">
        <v>0.248</v>
      </c>
      <c r="E35" s="499">
        <v>5.23</v>
      </c>
      <c r="F35" s="68">
        <v>0.16289999999999999</v>
      </c>
      <c r="G35" s="69">
        <v>2.8399999999999998E-2</v>
      </c>
      <c r="H35" s="69">
        <v>2.6063999999999997E-2</v>
      </c>
      <c r="I35" s="69">
        <v>8.3999999999999995E-3</v>
      </c>
      <c r="J35" s="69">
        <v>0.92400000000000004</v>
      </c>
      <c r="K35" s="69">
        <v>0.94699999999999995</v>
      </c>
      <c r="L35" s="69">
        <v>0.9</v>
      </c>
      <c r="M35" s="69">
        <v>0.1</v>
      </c>
      <c r="N35" s="69">
        <v>0.5</v>
      </c>
      <c r="O35" s="69">
        <v>0.5</v>
      </c>
    </row>
    <row r="36" spans="2:15" x14ac:dyDescent="0.25">
      <c r="B36" s="59" t="s">
        <v>537</v>
      </c>
      <c r="C36" s="59" t="s">
        <v>538</v>
      </c>
      <c r="D36" s="63">
        <v>0.25790000000000002</v>
      </c>
      <c r="E36" s="499">
        <v>6.2686666666666673</v>
      </c>
      <c r="F36" s="68">
        <v>0.16336666666666666</v>
      </c>
      <c r="G36" s="69">
        <v>5.8733333333333325E-2</v>
      </c>
      <c r="H36" s="69">
        <v>2.6138666666666664E-2</v>
      </c>
      <c r="I36" s="69">
        <v>6.1093333333333338E-3</v>
      </c>
      <c r="J36" s="69">
        <v>0.92400000000000004</v>
      </c>
      <c r="K36" s="69">
        <v>0.94699999999999995</v>
      </c>
      <c r="L36" s="69">
        <v>0.9</v>
      </c>
      <c r="M36" s="69">
        <v>0.1</v>
      </c>
      <c r="N36" s="69">
        <v>0.5</v>
      </c>
      <c r="O36" s="69">
        <v>0.5</v>
      </c>
    </row>
    <row r="37" spans="2:15" x14ac:dyDescent="0.25">
      <c r="B37" s="59" t="s">
        <v>539</v>
      </c>
      <c r="C37" s="59" t="s">
        <v>540</v>
      </c>
      <c r="D37" s="63">
        <v>0.26779999999999998</v>
      </c>
      <c r="E37" s="499">
        <v>6.98</v>
      </c>
      <c r="F37" s="68">
        <v>0.1394</v>
      </c>
      <c r="G37" s="69">
        <v>8.4700000000000011E-2</v>
      </c>
      <c r="H37" s="69">
        <v>2.2304000000000001E-2</v>
      </c>
      <c r="I37" s="69">
        <v>4.7999999999999996E-3</v>
      </c>
      <c r="J37" s="69">
        <v>0.92400000000000004</v>
      </c>
      <c r="K37" s="69">
        <v>0.94699999999999995</v>
      </c>
      <c r="L37" s="69">
        <v>0.9</v>
      </c>
      <c r="M37" s="69">
        <v>0.1</v>
      </c>
      <c r="N37" s="69">
        <v>0.5</v>
      </c>
      <c r="O37" s="69">
        <v>0.5</v>
      </c>
    </row>
    <row r="38" spans="2:15" x14ac:dyDescent="0.25">
      <c r="B38" s="59" t="s">
        <v>541</v>
      </c>
      <c r="C38" s="59" t="s">
        <v>542</v>
      </c>
      <c r="D38" s="63">
        <v>0.25790000000000002</v>
      </c>
      <c r="E38" s="499">
        <v>6.2686666666666673</v>
      </c>
      <c r="F38" s="68">
        <v>0.16336666666666666</v>
      </c>
      <c r="G38" s="69">
        <v>5.8733333333333325E-2</v>
      </c>
      <c r="H38" s="69">
        <v>2.6138666666666664E-2</v>
      </c>
      <c r="I38" s="69">
        <v>6.1093333333333338E-3</v>
      </c>
      <c r="J38" s="69">
        <v>0.92400000000000004</v>
      </c>
      <c r="K38" s="69">
        <v>0.94699999999999995</v>
      </c>
      <c r="L38" s="69">
        <v>0.9</v>
      </c>
      <c r="M38" s="69">
        <v>0.1</v>
      </c>
      <c r="N38" s="69">
        <v>0.5</v>
      </c>
      <c r="O38" s="69">
        <v>0.5</v>
      </c>
    </row>
    <row r="39" spans="2:15" x14ac:dyDescent="0.25">
      <c r="B39" s="59" t="s">
        <v>543</v>
      </c>
      <c r="C39" s="59" t="s">
        <v>544</v>
      </c>
      <c r="D39" s="63">
        <v>0.25790000000000002</v>
      </c>
      <c r="E39" s="499">
        <v>6.2686666666666673</v>
      </c>
      <c r="F39" s="68">
        <v>0.16336666666666666</v>
      </c>
      <c r="G39" s="69">
        <v>5.8733333333333325E-2</v>
      </c>
      <c r="H39" s="69">
        <v>2.6138666666666664E-2</v>
      </c>
      <c r="I39" s="69">
        <v>6.1093333333333338E-3</v>
      </c>
      <c r="J39" s="69">
        <v>0.92400000000000004</v>
      </c>
      <c r="K39" s="69">
        <v>0.94699999999999995</v>
      </c>
      <c r="L39" s="69">
        <v>0.9</v>
      </c>
      <c r="M39" s="69">
        <v>0.1</v>
      </c>
      <c r="N39" s="69">
        <v>0.5</v>
      </c>
      <c r="O39" s="69">
        <v>0.5</v>
      </c>
    </row>
    <row r="40" spans="2:15" x14ac:dyDescent="0.25">
      <c r="B40" s="59" t="s">
        <v>545</v>
      </c>
      <c r="C40" s="59" t="s">
        <v>546</v>
      </c>
      <c r="D40" s="63">
        <v>0.25790000000000002</v>
      </c>
      <c r="E40" s="499">
        <v>6.2686666666666673</v>
      </c>
      <c r="F40" s="68">
        <v>0.16336666666666666</v>
      </c>
      <c r="G40" s="69">
        <v>5.8733333333333325E-2</v>
      </c>
      <c r="H40" s="69">
        <v>2.6138666666666664E-2</v>
      </c>
      <c r="I40" s="69">
        <v>6.1093333333333338E-3</v>
      </c>
      <c r="J40" s="69">
        <v>0.92400000000000004</v>
      </c>
      <c r="K40" s="69">
        <v>0.94699999999999995</v>
      </c>
      <c r="L40" s="69">
        <v>0.71299999999999997</v>
      </c>
      <c r="M40" s="69">
        <v>0</v>
      </c>
      <c r="N40" s="69">
        <v>0.5</v>
      </c>
      <c r="O40" s="69">
        <v>0.5</v>
      </c>
    </row>
    <row r="41" spans="2:15" x14ac:dyDescent="0.25">
      <c r="B41" s="59" t="s">
        <v>547</v>
      </c>
      <c r="C41" s="59" t="s">
        <v>548</v>
      </c>
      <c r="D41" s="63">
        <v>0.2732</v>
      </c>
      <c r="E41" s="499">
        <v>7.01</v>
      </c>
      <c r="F41" s="68">
        <v>0.183</v>
      </c>
      <c r="G41" s="69">
        <v>6.3899999999999998E-2</v>
      </c>
      <c r="H41" s="69">
        <v>2.928E-2</v>
      </c>
      <c r="I41" s="69">
        <v>4.7999999999999996E-3</v>
      </c>
      <c r="J41" s="69">
        <v>0.92400000000000004</v>
      </c>
      <c r="K41" s="69">
        <v>0.94699999999999995</v>
      </c>
      <c r="L41" s="69">
        <v>0.71299999999999997</v>
      </c>
      <c r="M41" s="69">
        <v>0</v>
      </c>
      <c r="N41" s="69">
        <v>0.5</v>
      </c>
      <c r="O41" s="69">
        <v>0.5</v>
      </c>
    </row>
    <row r="42" spans="2:15" x14ac:dyDescent="0.25">
      <c r="B42" s="59" t="s">
        <v>549</v>
      </c>
      <c r="C42" s="59" t="s">
        <v>550</v>
      </c>
      <c r="D42" s="63">
        <v>0.2661</v>
      </c>
      <c r="E42" s="499">
        <v>7.09</v>
      </c>
      <c r="F42" s="68">
        <v>0.14929999999999999</v>
      </c>
      <c r="G42" s="69">
        <v>8.539999999999999E-2</v>
      </c>
      <c r="H42" s="69">
        <v>2.3888E-2</v>
      </c>
      <c r="I42" s="69">
        <v>4.4000000000000003E-3</v>
      </c>
      <c r="J42" s="69">
        <v>0.92400000000000004</v>
      </c>
      <c r="K42" s="69">
        <v>0.94699999999999995</v>
      </c>
      <c r="L42" s="69">
        <v>0.71299999999999997</v>
      </c>
      <c r="M42" s="69">
        <v>0</v>
      </c>
      <c r="N42" s="69">
        <v>0.5</v>
      </c>
      <c r="O42" s="69">
        <v>0.5</v>
      </c>
    </row>
    <row r="43" spans="2:15" x14ac:dyDescent="0.25">
      <c r="B43" s="59" t="s">
        <v>551</v>
      </c>
      <c r="C43" s="59" t="s">
        <v>552</v>
      </c>
      <c r="D43" s="63">
        <v>0.24890000000000001</v>
      </c>
      <c r="E43" s="499">
        <v>5.08</v>
      </c>
      <c r="F43" s="68">
        <v>0.17739999999999997</v>
      </c>
      <c r="G43" s="69">
        <v>1.9400000000000001E-2</v>
      </c>
      <c r="H43" s="69">
        <v>2.8383999999999996E-2</v>
      </c>
      <c r="I43" s="69">
        <v>9.1999999999999998E-3</v>
      </c>
      <c r="J43" s="69">
        <v>0.92400000000000004</v>
      </c>
      <c r="K43" s="69">
        <v>0.94699999999999995</v>
      </c>
      <c r="L43" s="69">
        <v>0.71299999999999997</v>
      </c>
      <c r="M43" s="69">
        <v>0</v>
      </c>
      <c r="N43" s="69">
        <v>0.5</v>
      </c>
      <c r="O43" s="69">
        <v>0.5</v>
      </c>
    </row>
    <row r="44" spans="2:15" x14ac:dyDescent="0.25">
      <c r="B44" s="59" t="s">
        <v>553</v>
      </c>
      <c r="C44" s="59" t="s">
        <v>554</v>
      </c>
      <c r="D44" s="63">
        <v>0.23769999999999999</v>
      </c>
      <c r="E44" s="499">
        <v>4.9800000000000004</v>
      </c>
      <c r="F44" s="68">
        <v>0.17530000000000001</v>
      </c>
      <c r="G44" s="69">
        <v>6.4000000000000003E-3</v>
      </c>
      <c r="H44" s="69">
        <v>2.8048000000000003E-2</v>
      </c>
      <c r="I44" s="69">
        <v>6.8999999999999999E-3</v>
      </c>
      <c r="J44" s="69">
        <v>0.92400000000000004</v>
      </c>
      <c r="K44" s="69">
        <v>0.94699999999999995</v>
      </c>
      <c r="L44" s="69">
        <v>0.71299999999999997</v>
      </c>
      <c r="M44" s="69">
        <v>0</v>
      </c>
      <c r="N44" s="69">
        <v>0.5</v>
      </c>
      <c r="O44" s="69">
        <v>0.5</v>
      </c>
    </row>
    <row r="45" spans="2:15" x14ac:dyDescent="0.25">
      <c r="B45" s="59" t="s">
        <v>555</v>
      </c>
      <c r="C45" s="59" t="s">
        <v>556</v>
      </c>
      <c r="D45" s="63">
        <v>0.25790000000000002</v>
      </c>
      <c r="E45" s="499">
        <v>6.2686666666666673</v>
      </c>
      <c r="F45" s="68">
        <v>0.16336666666666666</v>
      </c>
      <c r="G45" s="69">
        <v>5.8733333333333325E-2</v>
      </c>
      <c r="H45" s="69">
        <v>2.6138666666666661E-2</v>
      </c>
      <c r="I45" s="69">
        <v>6.1093333333333338E-3</v>
      </c>
      <c r="J45" s="69">
        <v>0.92400000000000004</v>
      </c>
      <c r="K45" s="69">
        <v>0.94699999999999995</v>
      </c>
      <c r="L45" s="69">
        <v>0.71299999999999997</v>
      </c>
      <c r="M45" s="69">
        <v>0</v>
      </c>
      <c r="N45" s="69">
        <v>0.5</v>
      </c>
      <c r="O45" s="69">
        <v>0.5</v>
      </c>
    </row>
    <row r="46" spans="2:15" x14ac:dyDescent="0.25">
      <c r="B46" s="59" t="s">
        <v>557</v>
      </c>
      <c r="C46" s="59" t="s">
        <v>558</v>
      </c>
      <c r="D46" s="63">
        <v>0.2094</v>
      </c>
      <c r="E46" s="499">
        <v>4.96</v>
      </c>
      <c r="F46" s="68">
        <v>0.15229999999999999</v>
      </c>
      <c r="G46" s="69">
        <v>5.9399999999999994E-2</v>
      </c>
      <c r="H46" s="69">
        <v>2.4367999999999997E-2</v>
      </c>
      <c r="I46" s="69">
        <v>2.0399999999999997E-3</v>
      </c>
      <c r="J46" s="69">
        <v>0.92400000000000004</v>
      </c>
      <c r="K46" s="69">
        <v>0.94699999999999995</v>
      </c>
      <c r="L46" s="69">
        <v>0.71299999999999997</v>
      </c>
      <c r="M46" s="69">
        <v>0</v>
      </c>
      <c r="N46" s="69">
        <v>0.5</v>
      </c>
      <c r="O46" s="69">
        <v>0.5</v>
      </c>
    </row>
    <row r="47" spans="2:15" x14ac:dyDescent="0.25">
      <c r="B47" s="59" t="s">
        <v>559</v>
      </c>
      <c r="C47" s="59" t="s">
        <v>560</v>
      </c>
      <c r="D47" s="63">
        <v>0.24560000000000001</v>
      </c>
      <c r="E47" s="499">
        <v>4.84</v>
      </c>
      <c r="F47" s="68">
        <v>0.16969999999999999</v>
      </c>
      <c r="G47" s="69">
        <v>1.7600000000000001E-2</v>
      </c>
      <c r="H47" s="69">
        <v>2.7151999999999999E-2</v>
      </c>
      <c r="I47" s="69">
        <v>1.0200000000000001E-2</v>
      </c>
      <c r="J47" s="69">
        <v>0.92400000000000004</v>
      </c>
      <c r="K47" s="69">
        <v>0.94699999999999995</v>
      </c>
      <c r="L47" s="69">
        <v>0.71299999999999997</v>
      </c>
      <c r="M47" s="69">
        <v>0</v>
      </c>
      <c r="N47" s="69">
        <v>0.5</v>
      </c>
      <c r="O47" s="69">
        <v>0.5</v>
      </c>
    </row>
    <row r="48" spans="2:15" x14ac:dyDescent="0.25">
      <c r="B48" s="59" t="s">
        <v>561</v>
      </c>
      <c r="C48" s="59" t="s">
        <v>562</v>
      </c>
      <c r="D48" s="63">
        <v>0.2545</v>
      </c>
      <c r="E48" s="499">
        <v>5.4</v>
      </c>
      <c r="F48" s="68">
        <v>0.17780000000000001</v>
      </c>
      <c r="G48" s="69">
        <v>2.5600000000000001E-2</v>
      </c>
      <c r="H48" s="69">
        <v>2.8448000000000001E-2</v>
      </c>
      <c r="I48" s="69">
        <v>8.199999999999999E-3</v>
      </c>
      <c r="J48" s="69">
        <v>0.92400000000000004</v>
      </c>
      <c r="K48" s="69">
        <v>0.94699999999999995</v>
      </c>
      <c r="L48" s="69">
        <v>0.71299999999999997</v>
      </c>
      <c r="M48" s="69">
        <v>0</v>
      </c>
      <c r="N48" s="69">
        <v>0.5</v>
      </c>
      <c r="O48" s="69">
        <v>0.5</v>
      </c>
    </row>
    <row r="49" spans="2:15" x14ac:dyDescent="0.25">
      <c r="B49" s="59" t="s">
        <v>563</v>
      </c>
      <c r="C49" s="59" t="s">
        <v>564</v>
      </c>
      <c r="D49" s="63">
        <v>0.28000000000000003</v>
      </c>
      <c r="E49" s="499">
        <v>8.7100000000000009</v>
      </c>
      <c r="F49" s="68">
        <v>0.185</v>
      </c>
      <c r="G49" s="69">
        <v>0.13419999999999999</v>
      </c>
      <c r="H49" s="69">
        <v>2.9600000000000001E-2</v>
      </c>
      <c r="I49" s="69">
        <v>4.0000000000000001E-3</v>
      </c>
      <c r="J49" s="69">
        <v>0.92400000000000004</v>
      </c>
      <c r="K49" s="69">
        <v>0.94699999999999995</v>
      </c>
      <c r="L49" s="69">
        <v>0.71299999999999997</v>
      </c>
      <c r="M49" s="69">
        <v>0</v>
      </c>
      <c r="N49" s="69">
        <v>0.5</v>
      </c>
      <c r="O49" s="69">
        <v>0.5</v>
      </c>
    </row>
    <row r="50" spans="2:15" x14ac:dyDescent="0.25">
      <c r="B50" s="59" t="s">
        <v>565</v>
      </c>
      <c r="C50" s="59" t="s">
        <v>566</v>
      </c>
      <c r="D50" s="63">
        <v>0.25790000000000002</v>
      </c>
      <c r="E50" s="499">
        <v>6.2686666666666673</v>
      </c>
      <c r="F50" s="68">
        <v>0.16336666666666666</v>
      </c>
      <c r="G50" s="69">
        <v>5.8733333333333325E-2</v>
      </c>
      <c r="H50" s="69">
        <v>2.6138666666666664E-2</v>
      </c>
      <c r="I50" s="69">
        <v>6.1093333333333338E-3</v>
      </c>
      <c r="J50" s="69">
        <v>0.92400000000000004</v>
      </c>
      <c r="K50" s="69">
        <v>0.94699999999999995</v>
      </c>
      <c r="L50" s="69">
        <v>0.71299999999999997</v>
      </c>
      <c r="M50" s="69">
        <v>0</v>
      </c>
      <c r="N50" s="69">
        <v>0.5</v>
      </c>
      <c r="O50" s="69">
        <v>0.5</v>
      </c>
    </row>
    <row r="51" spans="2:15" x14ac:dyDescent="0.25">
      <c r="B51" s="59" t="s">
        <v>567</v>
      </c>
      <c r="C51" s="59" t="s">
        <v>568</v>
      </c>
      <c r="D51" s="63">
        <v>0.1915</v>
      </c>
      <c r="E51" s="499">
        <v>3.83</v>
      </c>
      <c r="F51" s="68">
        <v>0.13570000000000002</v>
      </c>
      <c r="G51" s="69">
        <v>8.0000000000000002E-3</v>
      </c>
      <c r="H51" s="69">
        <v>2.1712000000000002E-2</v>
      </c>
      <c r="I51" s="69">
        <v>6.0000000000000001E-3</v>
      </c>
      <c r="J51" s="69">
        <v>0.92400000000000004</v>
      </c>
      <c r="K51" s="69">
        <v>0.94699999999999995</v>
      </c>
      <c r="L51" s="69">
        <v>0.71299999999999997</v>
      </c>
      <c r="M51" s="69">
        <v>0</v>
      </c>
      <c r="N51" s="69">
        <v>0.5</v>
      </c>
      <c r="O51" s="69">
        <v>0.5</v>
      </c>
    </row>
    <row r="52" spans="2:15" x14ac:dyDescent="0.25">
      <c r="B52" s="59" t="s">
        <v>569</v>
      </c>
      <c r="C52" s="59" t="s">
        <v>570</v>
      </c>
      <c r="D52" s="63">
        <v>0.25</v>
      </c>
      <c r="E52" s="499">
        <v>4</v>
      </c>
      <c r="F52" s="68">
        <v>0.13900000000000001</v>
      </c>
      <c r="G52" s="69">
        <v>1.7000000000000001E-2</v>
      </c>
      <c r="H52" s="69">
        <v>2.2240000000000003E-2</v>
      </c>
      <c r="I52" s="69">
        <v>7.0000000000000001E-3</v>
      </c>
      <c r="J52" s="69">
        <v>0.92400000000000004</v>
      </c>
      <c r="K52" s="69">
        <v>0.94699999999999995</v>
      </c>
      <c r="L52" s="69">
        <v>0.9</v>
      </c>
      <c r="M52" s="69">
        <v>0.1</v>
      </c>
      <c r="N52" s="69">
        <v>0.5</v>
      </c>
      <c r="O52" s="69">
        <v>0.5</v>
      </c>
    </row>
    <row r="53" spans="2:15" x14ac:dyDescent="0.25">
      <c r="B53" s="59" t="s">
        <v>571</v>
      </c>
      <c r="C53" s="59" t="s">
        <v>572</v>
      </c>
      <c r="D53" s="63">
        <v>0.25790000000000002</v>
      </c>
      <c r="E53" s="499">
        <v>6.2686666666666673</v>
      </c>
      <c r="F53" s="68">
        <v>0.16336666666666666</v>
      </c>
      <c r="G53" s="69">
        <v>5.8733333333333325E-2</v>
      </c>
      <c r="H53" s="69">
        <v>2.6138666666666664E-2</v>
      </c>
      <c r="I53" s="69">
        <v>6.1093333333333338E-3</v>
      </c>
      <c r="J53" s="69">
        <v>0.92400000000000004</v>
      </c>
      <c r="K53" s="69">
        <v>0.94699999999999995</v>
      </c>
      <c r="L53" s="69">
        <v>0.9</v>
      </c>
      <c r="M53" s="69">
        <v>0.1</v>
      </c>
      <c r="N53" s="69">
        <v>0.5</v>
      </c>
      <c r="O53" s="69">
        <v>0.5</v>
      </c>
    </row>
    <row r="54" spans="2:15" x14ac:dyDescent="0.25">
      <c r="B54" s="59" t="s">
        <v>573</v>
      </c>
      <c r="C54" s="59" t="s">
        <v>574</v>
      </c>
      <c r="D54" s="63">
        <v>0.26500000000000001</v>
      </c>
      <c r="E54" s="499">
        <v>6.2686666666666673</v>
      </c>
      <c r="F54" s="68">
        <v>0.14099999999999999</v>
      </c>
      <c r="G54" s="69">
        <v>5.8733333333333325E-2</v>
      </c>
      <c r="H54" s="69">
        <v>2.2559999999999997E-2</v>
      </c>
      <c r="I54" s="69">
        <v>7.4999999999999997E-3</v>
      </c>
      <c r="J54" s="69">
        <v>0.92400000000000004</v>
      </c>
      <c r="K54" s="69">
        <v>0.94699999999999995</v>
      </c>
      <c r="L54" s="69">
        <v>0.9</v>
      </c>
      <c r="M54" s="69">
        <v>0.1</v>
      </c>
      <c r="N54" s="69">
        <v>0.5</v>
      </c>
      <c r="O54" s="69">
        <v>0.5</v>
      </c>
    </row>
    <row r="55" spans="2:15" x14ac:dyDescent="0.25">
      <c r="B55" s="59" t="s">
        <v>575</v>
      </c>
      <c r="C55" s="59" t="s">
        <v>576</v>
      </c>
      <c r="D55" s="63">
        <v>0.26</v>
      </c>
      <c r="E55" s="499">
        <v>8.76</v>
      </c>
      <c r="F55" s="68">
        <v>0.156</v>
      </c>
      <c r="G55" s="69">
        <v>0.1157</v>
      </c>
      <c r="H55" s="69">
        <v>2.496E-2</v>
      </c>
      <c r="I55" s="69">
        <v>3.5000000000000001E-3</v>
      </c>
      <c r="J55" s="69">
        <v>0.92400000000000004</v>
      </c>
      <c r="K55" s="69">
        <v>0.94699999999999995</v>
      </c>
      <c r="L55" s="69">
        <v>0.71299999999999997</v>
      </c>
      <c r="M55" s="69">
        <v>0</v>
      </c>
      <c r="N55" s="69">
        <v>0.5</v>
      </c>
      <c r="O55" s="69">
        <v>0.5</v>
      </c>
    </row>
    <row r="56" spans="2:15" x14ac:dyDescent="0.25">
      <c r="B56" s="59" t="s">
        <v>577</v>
      </c>
      <c r="C56" s="59" t="s">
        <v>578</v>
      </c>
      <c r="D56" s="63">
        <v>0.25790000000000002</v>
      </c>
      <c r="E56" s="499">
        <v>6.2686666666666673</v>
      </c>
      <c r="F56" s="68">
        <v>0.16336666666666666</v>
      </c>
      <c r="G56" s="69">
        <v>0.13419999999999999</v>
      </c>
      <c r="H56" s="69">
        <v>2.6138666666666664E-2</v>
      </c>
      <c r="I56" s="69">
        <v>6.1093333333333338E-3</v>
      </c>
      <c r="J56" s="69">
        <v>0.92400000000000004</v>
      </c>
      <c r="K56" s="69">
        <v>0.94699999999999995</v>
      </c>
      <c r="L56" s="69">
        <v>0.71299999999999997</v>
      </c>
      <c r="M56" s="69">
        <v>0</v>
      </c>
      <c r="N56" s="69">
        <v>0.5</v>
      </c>
      <c r="O56" s="69">
        <v>0.5</v>
      </c>
    </row>
    <row r="57" spans="2:15" x14ac:dyDescent="0.25">
      <c r="B57" s="59" t="s">
        <v>579</v>
      </c>
      <c r="C57" s="59" t="s">
        <v>580</v>
      </c>
      <c r="D57" s="63">
        <v>0.25790000000000002</v>
      </c>
      <c r="E57" s="499">
        <v>6.2686666666666673</v>
      </c>
      <c r="F57" s="68">
        <v>0.16336666666666666</v>
      </c>
      <c r="G57" s="69">
        <v>5.8733333333333325E-2</v>
      </c>
      <c r="H57" s="69">
        <v>2.6138666666666664E-2</v>
      </c>
      <c r="I57" s="69">
        <v>6.1093333333333338E-3</v>
      </c>
      <c r="J57" s="69">
        <v>0.92400000000000004</v>
      </c>
      <c r="K57" s="69">
        <v>0.94699999999999995</v>
      </c>
      <c r="L57" s="69">
        <v>0.71299999999999997</v>
      </c>
      <c r="M57" s="69">
        <v>0</v>
      </c>
      <c r="N57" s="69">
        <v>0.5</v>
      </c>
      <c r="O57" s="69">
        <v>0.5</v>
      </c>
    </row>
    <row r="58" spans="2:15" x14ac:dyDescent="0.25">
      <c r="B58" s="60" t="s">
        <v>1047</v>
      </c>
      <c r="C58" s="60" t="s">
        <v>1048</v>
      </c>
      <c r="D58" s="466">
        <v>0.3</v>
      </c>
      <c r="G58" s="69"/>
      <c r="H58" s="69">
        <v>2.7E-2</v>
      </c>
      <c r="I58" s="69"/>
      <c r="J58" s="69"/>
      <c r="K58" s="69"/>
      <c r="L58" s="69"/>
      <c r="M58" s="69"/>
      <c r="N58" s="69"/>
      <c r="O58" s="69"/>
    </row>
    <row r="59" spans="2:15" x14ac:dyDescent="0.25">
      <c r="B59" s="60" t="s">
        <v>1072</v>
      </c>
      <c r="C59" s="60" t="s">
        <v>1089</v>
      </c>
      <c r="D59" s="466">
        <v>0.35</v>
      </c>
      <c r="G59" s="69"/>
      <c r="H59" s="69">
        <v>2.7E-2</v>
      </c>
      <c r="I59" s="69"/>
      <c r="J59" s="69"/>
      <c r="K59" s="69"/>
      <c r="L59" s="69"/>
      <c r="M59" s="69"/>
      <c r="N59" s="69"/>
      <c r="O59" s="69"/>
    </row>
    <row r="63" spans="2:15" x14ac:dyDescent="0.25">
      <c r="D63" s="71"/>
    </row>
    <row r="64" spans="2:15" x14ac:dyDescent="0.25">
      <c r="D64" s="71"/>
    </row>
  </sheetData>
  <mergeCells count="14">
    <mergeCell ref="B14:H14"/>
    <mergeCell ref="D29:J29"/>
    <mergeCell ref="I14:N14"/>
    <mergeCell ref="O14:T14"/>
    <mergeCell ref="K29:O29"/>
    <mergeCell ref="A10:B10"/>
    <mergeCell ref="A1:I1"/>
    <mergeCell ref="A9:B9"/>
    <mergeCell ref="A11:B11"/>
    <mergeCell ref="A5:B5"/>
    <mergeCell ref="A6:B6"/>
    <mergeCell ref="A7:B7"/>
    <mergeCell ref="A3:B3"/>
    <mergeCell ref="A4:B4"/>
  </mergeCells>
  <phoneticPr fontId="8" type="noConversion"/>
  <dataValidations count="1">
    <dataValidation type="list" allowBlank="1" showInputMessage="1" showErrorMessage="1" sqref="B16:B28" xr:uid="{9140FD9B-8F18-48CC-8289-60E8B0A4DBE6}">
      <formula1>Coproducts</formula1>
    </dataValidation>
  </dataValidations>
  <pageMargins left="0.7" right="0.7" top="0.75" bottom="0.75" header="0.3" footer="0.3"/>
  <pageSetup paperSize="9"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DA6DB-1554-44E7-9445-50BD9CD0CA26}">
  <sheetPr codeName="Feuil13">
    <tabColor theme="2" tint="-0.499984740745262"/>
  </sheetPr>
  <dimension ref="A1:AH644"/>
  <sheetViews>
    <sheetView zoomScale="70" zoomScaleNormal="70" workbookViewId="0">
      <selection activeCell="AH604" sqref="AH604:AH628"/>
    </sheetView>
  </sheetViews>
  <sheetFormatPr baseColWidth="10" defaultColWidth="10.7109375" defaultRowHeight="15" x14ac:dyDescent="0.25"/>
  <cols>
    <col min="1" max="1" width="11.42578125" customWidth="1"/>
    <col min="2" max="2" width="49.7109375" bestFit="1" customWidth="1"/>
    <col min="3" max="3" width="42" customWidth="1"/>
    <col min="4" max="4" width="20.7109375" bestFit="1" customWidth="1"/>
    <col min="5" max="11" width="20.7109375" style="59" customWidth="1"/>
    <col min="12" max="12" width="19.42578125" bestFit="1" customWidth="1"/>
    <col min="13" max="13" width="20.42578125" style="59" customWidth="1"/>
    <col min="14" max="14" width="18.42578125" style="59" bestFit="1" customWidth="1"/>
    <col min="15" max="15" width="21" bestFit="1" customWidth="1"/>
    <col min="16" max="16" width="15.42578125" customWidth="1"/>
    <col min="17" max="17" width="14.42578125" customWidth="1"/>
    <col min="18" max="18" width="9.42578125" customWidth="1"/>
    <col min="21" max="21" width="11.42578125" style="59"/>
    <col min="22" max="22" width="61.42578125" bestFit="1" customWidth="1"/>
    <col min="32" max="32" width="21.42578125" customWidth="1"/>
    <col min="34" max="34" width="17.140625" bestFit="1" customWidth="1"/>
  </cols>
  <sheetData>
    <row r="1" spans="1:34" ht="20.25" thickBot="1" x14ac:dyDescent="0.35">
      <c r="A1" s="838" t="s">
        <v>1556</v>
      </c>
      <c r="B1" s="838"/>
      <c r="C1" s="838"/>
      <c r="D1" s="838"/>
      <c r="E1" s="838"/>
      <c r="F1" s="838"/>
      <c r="G1" s="838"/>
      <c r="H1" s="838"/>
      <c r="I1" s="838"/>
      <c r="J1" s="838"/>
      <c r="K1" s="838"/>
      <c r="L1" s="838"/>
      <c r="M1" s="838"/>
      <c r="N1" s="838"/>
      <c r="O1" s="838"/>
      <c r="P1" s="838"/>
      <c r="Q1" s="838"/>
    </row>
    <row r="2" spans="1:34" ht="15.75" thickTop="1" x14ac:dyDescent="0.25"/>
    <row r="3" spans="1:34" s="59" customFormat="1" ht="15.75" thickBot="1" x14ac:dyDescent="0.3">
      <c r="B3" s="59" t="s">
        <v>1065</v>
      </c>
      <c r="C3" s="126">
        <f>'System description'!C4</f>
        <v>0</v>
      </c>
      <c r="V3" s="67" t="s">
        <v>524</v>
      </c>
      <c r="W3" s="67" t="s">
        <v>1479</v>
      </c>
      <c r="X3" s="67" t="s">
        <v>1571</v>
      </c>
      <c r="Y3" s="67" t="s">
        <v>1572</v>
      </c>
      <c r="Z3" s="67" t="s">
        <v>1573</v>
      </c>
      <c r="AA3" s="67" t="s">
        <v>1574</v>
      </c>
      <c r="AB3" s="757" t="s">
        <v>1090</v>
      </c>
      <c r="AC3" s="78" t="s">
        <v>1575</v>
      </c>
      <c r="AD3" s="758" t="s">
        <v>1041</v>
      </c>
      <c r="AE3" s="758" t="s">
        <v>1046</v>
      </c>
      <c r="AF3" s="758" t="s">
        <v>525</v>
      </c>
      <c r="AG3" s="78" t="s">
        <v>1063</v>
      </c>
      <c r="AH3" s="78" t="s">
        <v>1064</v>
      </c>
    </row>
    <row r="4" spans="1:34" s="59" customFormat="1" x14ac:dyDescent="0.25">
      <c r="A4" s="845" t="s">
        <v>1191</v>
      </c>
      <c r="B4" s="845"/>
      <c r="C4" s="126">
        <f>C12+C36+C60+C84+C108+C132+C156+C180+C204+C228</f>
        <v>0</v>
      </c>
      <c r="V4" s="59" t="s">
        <v>1015</v>
      </c>
      <c r="W4" s="46">
        <v>0</v>
      </c>
      <c r="X4" s="46">
        <v>0</v>
      </c>
      <c r="Y4" s="46">
        <v>0</v>
      </c>
      <c r="Z4" s="46">
        <v>0</v>
      </c>
      <c r="AA4" s="46">
        <v>1</v>
      </c>
      <c r="AB4" s="46">
        <v>0</v>
      </c>
      <c r="AC4" s="46">
        <v>0</v>
      </c>
      <c r="AD4" s="46">
        <v>0</v>
      </c>
      <c r="AE4" s="46">
        <v>1</v>
      </c>
      <c r="AF4" s="59" t="s">
        <v>1576</v>
      </c>
      <c r="AH4" s="59" t="s">
        <v>1635</v>
      </c>
    </row>
    <row r="5" spans="1:34" s="59" customFormat="1" x14ac:dyDescent="0.25">
      <c r="A5" s="845" t="s">
        <v>1045</v>
      </c>
      <c r="B5" s="845"/>
      <c r="C5" s="127" t="e">
        <f>((C12*P32)+(C36*P56)+(C60*P80)+(C84*P104)+(C108*P128)+(C132*P152)+(C156*P176)+(C180*P200)+(C204*P224)+(C228*P248))/C4</f>
        <v>#DIV/0!</v>
      </c>
      <c r="L5" s="63"/>
      <c r="M5" s="63"/>
      <c r="V5" s="59" t="s">
        <v>1672</v>
      </c>
      <c r="W5" s="46">
        <v>1</v>
      </c>
      <c r="X5" s="46">
        <v>0</v>
      </c>
      <c r="Y5" s="46">
        <v>0</v>
      </c>
      <c r="Z5" s="46">
        <v>0</v>
      </c>
      <c r="AA5" s="46">
        <v>0</v>
      </c>
      <c r="AB5" s="46">
        <v>0</v>
      </c>
      <c r="AC5" s="46">
        <v>0</v>
      </c>
      <c r="AD5" s="46">
        <v>0.16</v>
      </c>
      <c r="AE5" s="46">
        <v>1</v>
      </c>
      <c r="AF5" s="59" t="s">
        <v>526</v>
      </c>
      <c r="AH5" s="59" t="s">
        <v>1635</v>
      </c>
    </row>
    <row r="6" spans="1:34" s="59" customFormat="1" x14ac:dyDescent="0.25">
      <c r="A6" s="845" t="s">
        <v>1044</v>
      </c>
      <c r="B6" s="845"/>
      <c r="C6" s="127" t="e">
        <f>((C12*R32)+(C36*R56)+(C60*R80)+(C84*R104)+(C108*R128)+(C132*R152)+(C156*R176)+(C180*R200)+(C204*R224)+(C228*R248))/C4</f>
        <v>#DIV/0!</v>
      </c>
      <c r="V6" s="59" t="s">
        <v>1673</v>
      </c>
      <c r="W6" s="46">
        <v>1</v>
      </c>
      <c r="X6" s="46">
        <v>0</v>
      </c>
      <c r="Y6" s="46">
        <v>0</v>
      </c>
      <c r="Z6" s="46">
        <v>0</v>
      </c>
      <c r="AA6" s="46">
        <v>0</v>
      </c>
      <c r="AB6" s="46">
        <v>0</v>
      </c>
      <c r="AC6" s="46">
        <v>0</v>
      </c>
      <c r="AD6" s="46">
        <v>0.16</v>
      </c>
      <c r="AE6" s="46">
        <v>1</v>
      </c>
      <c r="AF6" s="59" t="s">
        <v>526</v>
      </c>
      <c r="AH6" s="59" t="s">
        <v>1635</v>
      </c>
    </row>
    <row r="7" spans="1:34" s="59" customFormat="1" x14ac:dyDescent="0.25">
      <c r="A7" s="845" t="s">
        <v>1076</v>
      </c>
      <c r="B7" s="845"/>
      <c r="C7" s="128">
        <f>(C12*L32)+(C36*L56)+(C60*L80)+(C84*L104)+(C108*L128)+(C132*L152)+(C156*L176)+(C180*L200)+(C204*L224)+(C228*L248)</f>
        <v>0</v>
      </c>
      <c r="V7" s="59" t="s">
        <v>905</v>
      </c>
      <c r="W7" s="46">
        <v>0</v>
      </c>
      <c r="X7" s="46">
        <v>0.97199999999999998</v>
      </c>
      <c r="Y7" s="46">
        <v>7.9999999999999724E-3</v>
      </c>
      <c r="Z7" s="46">
        <v>0</v>
      </c>
      <c r="AA7" s="46">
        <v>0.02</v>
      </c>
      <c r="AB7" s="46">
        <v>2E-3</v>
      </c>
      <c r="AC7" s="46">
        <v>7.9999999999999724E-3</v>
      </c>
      <c r="AD7" s="46">
        <v>0</v>
      </c>
      <c r="AE7" s="46">
        <v>0.99199999999999999</v>
      </c>
      <c r="AF7" s="59" t="s">
        <v>1576</v>
      </c>
      <c r="AH7" s="59" t="s">
        <v>1635</v>
      </c>
    </row>
    <row r="8" spans="1:34" s="59" customFormat="1" x14ac:dyDescent="0.25">
      <c r="A8" s="131"/>
      <c r="B8" s="568" t="s">
        <v>1542</v>
      </c>
      <c r="C8" s="128" t="e">
        <f>(T32+T56+T80+T104+T128+T152+T176+T200+T224+T248)/(C4/1000)</f>
        <v>#DIV/0!</v>
      </c>
      <c r="V8" s="59" t="s">
        <v>901</v>
      </c>
      <c r="W8" s="46">
        <v>0.16300000000000001</v>
      </c>
      <c r="X8" s="46">
        <v>0.51400000000000001</v>
      </c>
      <c r="Y8" s="46">
        <v>0.28600000000000003</v>
      </c>
      <c r="Z8" s="46">
        <v>0.14000000000000001</v>
      </c>
      <c r="AA8" s="46">
        <v>3.7000000000000005E-2</v>
      </c>
      <c r="AB8" s="46">
        <v>3.0000000000000001E-3</v>
      </c>
      <c r="AC8" s="46">
        <v>0.04</v>
      </c>
      <c r="AD8" s="46">
        <v>2.6080000000000002E-2</v>
      </c>
      <c r="AE8" s="46">
        <v>0.96</v>
      </c>
      <c r="AF8" s="59" t="s">
        <v>1576</v>
      </c>
      <c r="AH8" s="59" t="s">
        <v>1635</v>
      </c>
    </row>
    <row r="9" spans="1:34" s="59" customFormat="1" x14ac:dyDescent="0.25">
      <c r="A9" s="131"/>
      <c r="B9" s="160"/>
      <c r="C9" s="159"/>
      <c r="D9" s="162"/>
      <c r="E9" s="162"/>
      <c r="F9" s="162"/>
      <c r="G9" s="162"/>
      <c r="H9" s="162"/>
      <c r="I9" s="162"/>
      <c r="J9" s="162"/>
      <c r="K9" s="162"/>
      <c r="V9" s="59" t="s">
        <v>898</v>
      </c>
      <c r="W9" s="46">
        <v>0.55299999999999994</v>
      </c>
      <c r="X9" s="46">
        <v>0.04</v>
      </c>
      <c r="Y9" s="46">
        <v>0.33100000000000002</v>
      </c>
      <c r="Z9" s="46">
        <v>2.1000000000000001E-2</v>
      </c>
      <c r="AA9" s="46">
        <v>7.5999999999999998E-2</v>
      </c>
      <c r="AB9" s="46">
        <v>7.6E-3</v>
      </c>
      <c r="AC9" s="46">
        <v>7.2000000000000022E-2</v>
      </c>
      <c r="AD9" s="46">
        <v>8.8479999999999989E-2</v>
      </c>
      <c r="AE9" s="46">
        <v>0.92799999999999994</v>
      </c>
      <c r="AF9" s="59" t="s">
        <v>1576</v>
      </c>
      <c r="AH9" s="59" t="s">
        <v>1635</v>
      </c>
    </row>
    <row r="10" spans="1:34" s="59" customFormat="1" ht="15.75" thickBot="1" x14ac:dyDescent="0.3">
      <c r="A10" s="131"/>
      <c r="B10" s="131"/>
      <c r="C10" s="159"/>
      <c r="V10" s="59" t="s">
        <v>899</v>
      </c>
      <c r="W10" s="46">
        <v>0.69099999999999995</v>
      </c>
      <c r="X10" s="46">
        <v>4.8000000000000001E-2</v>
      </c>
      <c r="Y10" s="46">
        <v>0.19100000000000006</v>
      </c>
      <c r="Z10" s="46">
        <v>5.0000000000000001E-3</v>
      </c>
      <c r="AA10" s="46">
        <v>7.0000000000000007E-2</v>
      </c>
      <c r="AB10" s="46">
        <v>1.2E-2</v>
      </c>
      <c r="AC10" s="46">
        <v>0.05</v>
      </c>
      <c r="AD10" s="46">
        <v>0.11055999999999999</v>
      </c>
      <c r="AE10" s="46">
        <v>0.95</v>
      </c>
      <c r="AF10" s="59" t="s">
        <v>1576</v>
      </c>
      <c r="AH10" s="59" t="s">
        <v>1635</v>
      </c>
    </row>
    <row r="11" spans="1:34" s="59" customFormat="1" ht="21.75" thickBot="1" x14ac:dyDescent="0.4">
      <c r="A11" s="131"/>
      <c r="B11" s="860" t="s">
        <v>1462</v>
      </c>
      <c r="C11" s="861"/>
      <c r="D11" s="861"/>
      <c r="E11" s="861"/>
      <c r="F11" s="862"/>
      <c r="G11" s="862"/>
      <c r="H11" s="861"/>
      <c r="I11" s="861"/>
      <c r="J11" s="861"/>
      <c r="K11" s="861"/>
      <c r="L11" s="861"/>
      <c r="M11" s="861"/>
      <c r="N11" s="861"/>
      <c r="O11" s="861"/>
      <c r="P11" s="861"/>
      <c r="Q11" s="861"/>
      <c r="R11" s="861"/>
      <c r="S11" s="861"/>
      <c r="T11" s="863"/>
      <c r="V11" s="59" t="s">
        <v>904</v>
      </c>
      <c r="W11" s="46">
        <v>0.09</v>
      </c>
      <c r="X11" s="46">
        <v>0.58799999999999997</v>
      </c>
      <c r="Y11" s="46">
        <v>0.29200000000000004</v>
      </c>
      <c r="Z11" s="46">
        <v>0.05</v>
      </c>
      <c r="AA11" s="46">
        <v>0.03</v>
      </c>
      <c r="AB11" s="46">
        <v>3.0000000000000001E-3</v>
      </c>
      <c r="AC11" s="46">
        <v>0.01</v>
      </c>
      <c r="AD11" s="46">
        <v>1.44E-2</v>
      </c>
      <c r="AE11" s="46">
        <v>0.99</v>
      </c>
      <c r="AF11" s="59" t="s">
        <v>1576</v>
      </c>
      <c r="AH11" s="59" t="s">
        <v>1635</v>
      </c>
    </row>
    <row r="12" spans="1:34" s="59" customFormat="1" ht="28.5" customHeight="1" x14ac:dyDescent="0.25">
      <c r="A12" s="131"/>
      <c r="B12" s="849" t="s">
        <v>1463</v>
      </c>
      <c r="C12" s="870"/>
      <c r="D12" s="873" t="s">
        <v>1193</v>
      </c>
      <c r="E12" s="875"/>
      <c r="F12" s="864" t="s">
        <v>1192</v>
      </c>
      <c r="G12" s="867"/>
      <c r="H12" s="877" t="s">
        <v>1188</v>
      </c>
      <c r="I12" s="491" t="s">
        <v>1464</v>
      </c>
      <c r="J12" s="495"/>
      <c r="K12" s="849" t="s">
        <v>1467</v>
      </c>
      <c r="L12" s="856" t="s">
        <v>1464</v>
      </c>
      <c r="M12" s="852"/>
      <c r="N12" s="853"/>
      <c r="O12" s="880"/>
      <c r="P12" s="881"/>
      <c r="Q12" s="881"/>
      <c r="R12" s="881"/>
      <c r="S12" s="881"/>
      <c r="T12" s="882"/>
      <c r="V12" s="59" t="s">
        <v>902</v>
      </c>
      <c r="W12" s="46">
        <v>0.12</v>
      </c>
      <c r="X12" s="46">
        <v>0.65300000000000002</v>
      </c>
      <c r="Y12" s="46">
        <v>0.191</v>
      </c>
      <c r="Z12" s="46">
        <v>0.12</v>
      </c>
      <c r="AA12" s="46">
        <v>3.6000000000000004E-2</v>
      </c>
      <c r="AB12" s="46">
        <v>3.0000000000000001E-3</v>
      </c>
      <c r="AC12" s="46">
        <v>3.7000000000000026E-2</v>
      </c>
      <c r="AD12" s="46">
        <v>1.9199999999999998E-2</v>
      </c>
      <c r="AE12" s="46">
        <v>0.96299999999999997</v>
      </c>
      <c r="AF12" s="59" t="s">
        <v>1576</v>
      </c>
      <c r="AH12" s="59" t="s">
        <v>1635</v>
      </c>
    </row>
    <row r="13" spans="1:34" s="59" customFormat="1" x14ac:dyDescent="0.25">
      <c r="A13" s="131"/>
      <c r="B13" s="850"/>
      <c r="C13" s="871"/>
      <c r="D13" s="874"/>
      <c r="E13" s="876"/>
      <c r="F13" s="865"/>
      <c r="G13" s="868"/>
      <c r="H13" s="878"/>
      <c r="I13" s="489" t="s">
        <v>1465</v>
      </c>
      <c r="J13" s="496"/>
      <c r="K13" s="850"/>
      <c r="L13" s="857"/>
      <c r="M13" s="854"/>
      <c r="N13" s="855"/>
      <c r="O13" s="883"/>
      <c r="P13" s="884"/>
      <c r="Q13" s="884"/>
      <c r="R13" s="884"/>
      <c r="S13" s="884"/>
      <c r="T13" s="885"/>
      <c r="V13" s="59" t="s">
        <v>900</v>
      </c>
      <c r="W13" s="46">
        <v>0.42</v>
      </c>
      <c r="X13" s="46">
        <v>7.8E-2</v>
      </c>
      <c r="Y13" s="46">
        <v>0.37900000000000006</v>
      </c>
      <c r="Z13" s="46">
        <v>5.5E-2</v>
      </c>
      <c r="AA13" s="46">
        <v>0.12300000000000001</v>
      </c>
      <c r="AB13" s="46">
        <v>9.3999999999999986E-3</v>
      </c>
      <c r="AC13" s="46">
        <v>5.5E-2</v>
      </c>
      <c r="AD13" s="46">
        <v>6.7199999999999996E-2</v>
      </c>
      <c r="AE13" s="46">
        <v>0.94499999999999995</v>
      </c>
      <c r="AF13" s="59" t="s">
        <v>1576</v>
      </c>
      <c r="AH13" s="59" t="s">
        <v>1635</v>
      </c>
    </row>
    <row r="14" spans="1:34" s="59" customFormat="1" ht="15.75" thickBot="1" x14ac:dyDescent="0.3">
      <c r="A14" s="131"/>
      <c r="B14" s="851"/>
      <c r="C14" s="872"/>
      <c r="D14" s="874"/>
      <c r="E14" s="876"/>
      <c r="F14" s="866"/>
      <c r="G14" s="869"/>
      <c r="H14" s="879"/>
      <c r="I14" s="490" t="s">
        <v>1466</v>
      </c>
      <c r="J14" s="497"/>
      <c r="K14" s="851"/>
      <c r="L14" s="490" t="s">
        <v>1468</v>
      </c>
      <c r="M14" s="858"/>
      <c r="N14" s="859"/>
      <c r="O14" s="886"/>
      <c r="P14" s="887"/>
      <c r="Q14" s="887"/>
      <c r="R14" s="887"/>
      <c r="S14" s="887"/>
      <c r="T14" s="888"/>
      <c r="V14" s="59" t="s">
        <v>1021</v>
      </c>
      <c r="W14" s="46">
        <v>0</v>
      </c>
      <c r="X14" s="46">
        <v>0</v>
      </c>
      <c r="Y14" s="46">
        <v>1</v>
      </c>
      <c r="Z14" s="46">
        <v>0.9</v>
      </c>
      <c r="AA14" s="46">
        <v>0</v>
      </c>
      <c r="AB14" s="46">
        <v>0</v>
      </c>
      <c r="AC14" s="46">
        <v>0.05</v>
      </c>
      <c r="AD14" s="46">
        <v>0</v>
      </c>
      <c r="AE14" s="46">
        <v>0.95</v>
      </c>
      <c r="AF14" s="59" t="s">
        <v>1576</v>
      </c>
      <c r="AH14" s="59" t="s">
        <v>1635</v>
      </c>
    </row>
    <row r="15" spans="1:34" s="59" customFormat="1" ht="45.75" thickBot="1" x14ac:dyDescent="0.3">
      <c r="A15" s="131"/>
      <c r="B15" s="488"/>
      <c r="C15" s="762" t="s">
        <v>511</v>
      </c>
      <c r="D15" s="768" t="s">
        <v>512</v>
      </c>
      <c r="E15" s="769" t="s">
        <v>1479</v>
      </c>
      <c r="F15" s="492" t="s">
        <v>1571</v>
      </c>
      <c r="G15" s="492" t="s">
        <v>1636</v>
      </c>
      <c r="H15" s="769" t="s">
        <v>1573</v>
      </c>
      <c r="I15" s="769" t="s">
        <v>1574</v>
      </c>
      <c r="J15" s="769" t="s">
        <v>1090</v>
      </c>
      <c r="K15" s="769" t="s">
        <v>1575</v>
      </c>
      <c r="L15" s="769" t="s">
        <v>1041</v>
      </c>
      <c r="M15" s="770" t="s">
        <v>1046</v>
      </c>
      <c r="N15" s="766" t="s">
        <v>1063</v>
      </c>
      <c r="O15" s="492" t="s">
        <v>1067</v>
      </c>
      <c r="P15" s="492" t="s">
        <v>1066</v>
      </c>
      <c r="Q15" s="492" t="s">
        <v>519</v>
      </c>
      <c r="R15" s="492"/>
      <c r="S15" s="493" t="s">
        <v>1189</v>
      </c>
      <c r="T15" s="494" t="s">
        <v>1190</v>
      </c>
      <c r="V15" s="59" t="s">
        <v>959</v>
      </c>
      <c r="W15" s="46">
        <v>0.7</v>
      </c>
      <c r="X15" s="46">
        <v>0</v>
      </c>
      <c r="Y15" s="46">
        <v>0.3</v>
      </c>
      <c r="Z15" s="46">
        <v>0</v>
      </c>
      <c r="AA15" s="46">
        <v>0</v>
      </c>
      <c r="AB15" s="46">
        <v>0</v>
      </c>
      <c r="AC15" s="46">
        <v>0.02</v>
      </c>
      <c r="AD15" s="46">
        <v>0.11199999999999999</v>
      </c>
      <c r="AE15" s="46">
        <v>0.98</v>
      </c>
      <c r="AF15" s="59" t="s">
        <v>1576</v>
      </c>
      <c r="AH15" s="59" t="s">
        <v>1635</v>
      </c>
    </row>
    <row r="16" spans="1:34" s="59" customFormat="1" x14ac:dyDescent="0.25">
      <c r="A16" s="131"/>
      <c r="B16" s="21" t="s">
        <v>513</v>
      </c>
      <c r="C16" s="763"/>
      <c r="D16" s="771"/>
      <c r="E16" s="761" t="str">
        <f>IF(C16="","",VLOOKUP(C16,Table_ingredients[],2,FALSE))</f>
        <v/>
      </c>
      <c r="F16" s="761" t="str">
        <f>IF(C16="","",VLOOKUP(C16,Table_ingredients[],3,FALSE))</f>
        <v/>
      </c>
      <c r="G16" s="761" t="str">
        <f>IF(C16="","",VLOOKUP(C16,Table_ingredients[],4,FALSE))</f>
        <v/>
      </c>
      <c r="H16" s="761" t="str">
        <f>IF(C16="","",VLOOKUP(C16,Table_ingredients[],5,FALSE))</f>
        <v/>
      </c>
      <c r="I16" s="761" t="str">
        <f>IF(C16="","",VLOOKUP(C16,Table_ingredients[],6,FALSE))</f>
        <v/>
      </c>
      <c r="J16" s="761" t="str">
        <f>IF(C16="","",VLOOKUP(C16,Table_ingredients[],7,FALSE))</f>
        <v/>
      </c>
      <c r="K16" s="761" t="str">
        <f>IF(C16="","",VLOOKUP(C16,Table_ingredients[],8,FALSE))</f>
        <v/>
      </c>
      <c r="L16" s="474" t="str">
        <f>IF(C16="","",VLOOKUP(C16,Table_ingredients[],9,FALSE))</f>
        <v/>
      </c>
      <c r="M16" s="772" t="str">
        <f>IF(C16="","",VLOOKUP(C16,Table_ingredients[],10,FALSE))</f>
        <v/>
      </c>
      <c r="N16" s="767" t="str">
        <f>IF(C16="","",VLOOKUP(C16,Table_ingredients[],12,FALSE))</f>
        <v/>
      </c>
      <c r="O16" s="476" t="str">
        <f>IF(N16=$C$3,"Yes","No")</f>
        <v>No</v>
      </c>
      <c r="P16" s="474">
        <f t="shared" ref="P16:P31" si="0">IF(O16="Yes",D16,0)</f>
        <v>0</v>
      </c>
      <c r="Q16" s="475" t="str">
        <f>IF(C16="","",VLOOKUP(C16,Table_ingredients[],13,FALSE))</f>
        <v/>
      </c>
      <c r="R16" s="474">
        <f t="shared" ref="R16:R31" si="1">IF(Q16="Yes",D16,0)</f>
        <v>0</v>
      </c>
      <c r="S16" s="109"/>
      <c r="T16" s="120">
        <f t="shared" ref="T16:T31" si="2">S16*D16*$C$12</f>
        <v>0</v>
      </c>
      <c r="V16" s="59" t="s">
        <v>979</v>
      </c>
      <c r="W16" s="46">
        <v>0.61</v>
      </c>
      <c r="X16" s="46">
        <v>0</v>
      </c>
      <c r="Y16" s="46">
        <v>0.38500000000000001</v>
      </c>
      <c r="Z16" s="46">
        <v>0</v>
      </c>
      <c r="AA16" s="46">
        <v>5.0000000000000001E-3</v>
      </c>
      <c r="AB16" s="46">
        <v>0</v>
      </c>
      <c r="AC16" s="46">
        <v>0.01</v>
      </c>
      <c r="AD16" s="46">
        <v>9.7599999999999992E-2</v>
      </c>
      <c r="AE16" s="46">
        <v>0.99</v>
      </c>
      <c r="AF16" s="59" t="s">
        <v>1576</v>
      </c>
      <c r="AH16" s="59" t="s">
        <v>1635</v>
      </c>
    </row>
    <row r="17" spans="1:34" s="59" customFormat="1" x14ac:dyDescent="0.25">
      <c r="A17" s="131"/>
      <c r="B17" s="13" t="s">
        <v>514</v>
      </c>
      <c r="C17" s="764"/>
      <c r="D17" s="773"/>
      <c r="E17" s="761" t="str">
        <f>IF(C17="","",VLOOKUP(C17,Table_ingredients[],2,FALSE))</f>
        <v/>
      </c>
      <c r="F17" s="761" t="str">
        <f>IF(C17="","",VLOOKUP(C17,Table_ingredients[],3,FALSE))</f>
        <v/>
      </c>
      <c r="G17" s="761" t="str">
        <f>IF(C17="","",VLOOKUP(C17,Table_ingredients[],4,FALSE))</f>
        <v/>
      </c>
      <c r="H17" s="761" t="str">
        <f>IF(C17="","",VLOOKUP(C17,Table_ingredients[],5,FALSE))</f>
        <v/>
      </c>
      <c r="I17" s="761" t="str">
        <f>IF(C17="","",VLOOKUP(C17,Table_ingredients[],6,FALSE))</f>
        <v/>
      </c>
      <c r="J17" s="761" t="str">
        <f>IF(C17="","",VLOOKUP(C17,Table_ingredients[],7,FALSE))</f>
        <v/>
      </c>
      <c r="K17" s="761" t="str">
        <f>IF(C17="","",VLOOKUP(C17,Table_ingredients[],8,FALSE))</f>
        <v/>
      </c>
      <c r="L17" s="474" t="str">
        <f>IF(C17="","",VLOOKUP(C17,Table_ingredients[],9,FALSE))</f>
        <v/>
      </c>
      <c r="M17" s="772" t="str">
        <f>IF(C17="","",VLOOKUP(C17,Table_ingredients[],10,FALSE))</f>
        <v/>
      </c>
      <c r="N17" s="767" t="str">
        <f>IF(C17="","",VLOOKUP(C17,Table_ingredients[],12,FALSE))</f>
        <v/>
      </c>
      <c r="O17" s="472" t="str">
        <f t="shared" ref="O17:O31" si="3">IF(N17=$C$3,"Yes","No")</f>
        <v>No</v>
      </c>
      <c r="P17" s="471">
        <f t="shared" si="0"/>
        <v>0</v>
      </c>
      <c r="Q17" s="475" t="str">
        <f>IF(C17="","",VLOOKUP(C17,Table_ingredients[],13,FALSE))</f>
        <v/>
      </c>
      <c r="R17" s="471">
        <f t="shared" si="1"/>
        <v>0</v>
      </c>
      <c r="S17" s="104"/>
      <c r="T17" s="120">
        <f t="shared" si="2"/>
        <v>0</v>
      </c>
      <c r="V17" s="59" t="s">
        <v>1674</v>
      </c>
      <c r="W17" s="46">
        <v>0.85799999999999998</v>
      </c>
      <c r="X17" s="46">
        <v>3.5000000000000003E-2</v>
      </c>
      <c r="Y17" s="46">
        <v>7.7000000000000027E-2</v>
      </c>
      <c r="Z17" s="46">
        <v>0</v>
      </c>
      <c r="AA17" s="46">
        <v>0.03</v>
      </c>
      <c r="AB17" s="46">
        <v>6.9999999999999993E-3</v>
      </c>
      <c r="AC17" s="46">
        <v>7.0000000000000007E-2</v>
      </c>
      <c r="AD17" s="46">
        <v>0.13727999999999999</v>
      </c>
      <c r="AE17" s="46">
        <v>0.93</v>
      </c>
      <c r="AF17" s="59" t="s">
        <v>526</v>
      </c>
      <c r="AH17" s="59" t="s">
        <v>1635</v>
      </c>
    </row>
    <row r="18" spans="1:34" s="59" customFormat="1" x14ac:dyDescent="0.25">
      <c r="A18" s="131"/>
      <c r="B18" s="13" t="s">
        <v>515</v>
      </c>
      <c r="C18" s="764"/>
      <c r="D18" s="773"/>
      <c r="E18" s="761" t="str">
        <f>IF(C18="","",VLOOKUP(C18,Table_ingredients[],2,FALSE))</f>
        <v/>
      </c>
      <c r="F18" s="761" t="str">
        <f>IF(C18="","",VLOOKUP(C18,Table_ingredients[],3,FALSE))</f>
        <v/>
      </c>
      <c r="G18" s="761" t="str">
        <f>IF(C18="","",VLOOKUP(C18,Table_ingredients[],4,FALSE))</f>
        <v/>
      </c>
      <c r="H18" s="761" t="str">
        <f>IF(C18="","",VLOOKUP(C18,Table_ingredients[],5,FALSE))</f>
        <v/>
      </c>
      <c r="I18" s="761" t="str">
        <f>IF(C18="","",VLOOKUP(C18,Table_ingredients[],6,FALSE))</f>
        <v/>
      </c>
      <c r="J18" s="761" t="str">
        <f>IF(C18="","",VLOOKUP(C18,Table_ingredients[],7,FALSE))</f>
        <v/>
      </c>
      <c r="K18" s="761" t="str">
        <f>IF(C18="","",VLOOKUP(C18,Table_ingredients[],8,FALSE))</f>
        <v/>
      </c>
      <c r="L18" s="474" t="str">
        <f>IF(C18="","",VLOOKUP(C18,Table_ingredients[],9,FALSE))</f>
        <v/>
      </c>
      <c r="M18" s="772" t="str">
        <f>IF(C18="","",VLOOKUP(C18,Table_ingredients[],10,FALSE))</f>
        <v/>
      </c>
      <c r="N18" s="767" t="str">
        <f>IF(C18="","",VLOOKUP(C18,Table_ingredients[],12,FALSE))</f>
        <v/>
      </c>
      <c r="O18" s="472" t="str">
        <f t="shared" si="3"/>
        <v>No</v>
      </c>
      <c r="P18" s="471">
        <f t="shared" si="0"/>
        <v>0</v>
      </c>
      <c r="Q18" s="475" t="str">
        <f>IF(C18="","",VLOOKUP(C18,Table_ingredients[],13,FALSE))</f>
        <v/>
      </c>
      <c r="R18" s="471">
        <f t="shared" si="1"/>
        <v>0</v>
      </c>
      <c r="S18" s="104"/>
      <c r="T18" s="120">
        <f t="shared" si="2"/>
        <v>0</v>
      </c>
      <c r="V18" s="59" t="s">
        <v>1008</v>
      </c>
      <c r="W18" s="46">
        <v>0.25</v>
      </c>
      <c r="X18" s="46">
        <v>0.5</v>
      </c>
      <c r="Y18" s="46">
        <v>0.22</v>
      </c>
      <c r="Z18" s="46">
        <v>0</v>
      </c>
      <c r="AA18" s="46">
        <v>0.03</v>
      </c>
      <c r="AB18" s="46">
        <v>1E-3</v>
      </c>
      <c r="AC18" s="46">
        <v>0.01</v>
      </c>
      <c r="AD18" s="46">
        <v>0.04</v>
      </c>
      <c r="AE18" s="46">
        <v>0.99</v>
      </c>
      <c r="AF18" s="59" t="s">
        <v>1576</v>
      </c>
      <c r="AH18" s="59" t="s">
        <v>1635</v>
      </c>
    </row>
    <row r="19" spans="1:34" s="59" customFormat="1" x14ac:dyDescent="0.25">
      <c r="A19" s="131"/>
      <c r="B19" s="13" t="s">
        <v>516</v>
      </c>
      <c r="C19" s="764"/>
      <c r="D19" s="773"/>
      <c r="E19" s="761" t="str">
        <f>IF(C19="","",VLOOKUP(C19,Table_ingredients[],2,FALSE))</f>
        <v/>
      </c>
      <c r="F19" s="761" t="str">
        <f>IF(C19="","",VLOOKUP(C19,Table_ingredients[],3,FALSE))</f>
        <v/>
      </c>
      <c r="G19" s="761" t="str">
        <f>IF(C19="","",VLOOKUP(C19,Table_ingredients[],4,FALSE))</f>
        <v/>
      </c>
      <c r="H19" s="761" t="str">
        <f>IF(C19="","",VLOOKUP(C19,Table_ingredients[],5,FALSE))</f>
        <v/>
      </c>
      <c r="I19" s="761" t="str">
        <f>IF(C19="","",VLOOKUP(C19,Table_ingredients[],6,FALSE))</f>
        <v/>
      </c>
      <c r="J19" s="761" t="str">
        <f>IF(C19="","",VLOOKUP(C19,Table_ingredients[],7,FALSE))</f>
        <v/>
      </c>
      <c r="K19" s="761" t="str">
        <f>IF(C19="","",VLOOKUP(C19,Table_ingredients[],8,FALSE))</f>
        <v/>
      </c>
      <c r="L19" s="474" t="str">
        <f>IF(C19="","",VLOOKUP(C19,Table_ingredients[],9,FALSE))</f>
        <v/>
      </c>
      <c r="M19" s="772" t="str">
        <f>IF(C19="","",VLOOKUP(C19,Table_ingredients[],10,FALSE))</f>
        <v/>
      </c>
      <c r="N19" s="767" t="str">
        <f>IF(C19="","",VLOOKUP(C19,Table_ingredients[],12,FALSE))</f>
        <v/>
      </c>
      <c r="O19" s="472" t="str">
        <f t="shared" si="3"/>
        <v>No</v>
      </c>
      <c r="P19" s="471">
        <f t="shared" si="0"/>
        <v>0</v>
      </c>
      <c r="Q19" s="475" t="str">
        <f>IF(C19="","",VLOOKUP(C19,Table_ingredients[],13,FALSE))</f>
        <v/>
      </c>
      <c r="R19" s="471">
        <f t="shared" si="1"/>
        <v>0</v>
      </c>
      <c r="S19" s="104"/>
      <c r="T19" s="120">
        <f t="shared" si="2"/>
        <v>0</v>
      </c>
      <c r="V19" s="59" t="s">
        <v>1038</v>
      </c>
      <c r="W19" s="46">
        <v>9.4E-2</v>
      </c>
      <c r="X19" s="46">
        <v>2.5000000000000001E-2</v>
      </c>
      <c r="Y19" s="46">
        <v>0.85099999999999998</v>
      </c>
      <c r="Z19" s="46">
        <v>2.2000000000000002E-2</v>
      </c>
      <c r="AA19" s="46">
        <v>0.03</v>
      </c>
      <c r="AB19" s="46">
        <v>0</v>
      </c>
      <c r="AC19" s="46">
        <v>0.1</v>
      </c>
      <c r="AD19" s="46">
        <v>1.504E-2</v>
      </c>
      <c r="AE19" s="46">
        <v>0.9</v>
      </c>
      <c r="AF19" s="59" t="s">
        <v>1576</v>
      </c>
      <c r="AH19" s="59" t="s">
        <v>1635</v>
      </c>
    </row>
    <row r="20" spans="1:34" x14ac:dyDescent="0.25">
      <c r="B20" s="13" t="s">
        <v>517</v>
      </c>
      <c r="C20" s="764"/>
      <c r="D20" s="773"/>
      <c r="E20" s="761" t="str">
        <f>IF(C20="","",VLOOKUP(C20,Table_ingredients[],2,FALSE))</f>
        <v/>
      </c>
      <c r="F20" s="761" t="str">
        <f>IF(C20="","",VLOOKUP(C20,Table_ingredients[],3,FALSE))</f>
        <v/>
      </c>
      <c r="G20" s="761" t="str">
        <f>IF(C20="","",VLOOKUP(C20,Table_ingredients[],4,FALSE))</f>
        <v/>
      </c>
      <c r="H20" s="761" t="str">
        <f>IF(C20="","",VLOOKUP(C20,Table_ingredients[],5,FALSE))</f>
        <v/>
      </c>
      <c r="I20" s="761" t="str">
        <f>IF(C20="","",VLOOKUP(C20,Table_ingredients[],6,FALSE))</f>
        <v/>
      </c>
      <c r="J20" s="761" t="str">
        <f>IF(C20="","",VLOOKUP(C20,Table_ingredients[],7,FALSE))</f>
        <v/>
      </c>
      <c r="K20" s="761" t="str">
        <f>IF(C20="","",VLOOKUP(C20,Table_ingredients[],8,FALSE))</f>
        <v/>
      </c>
      <c r="L20" s="474" t="str">
        <f>IF(C20="","",VLOOKUP(C20,Table_ingredients[],9,FALSE))</f>
        <v/>
      </c>
      <c r="M20" s="772" t="str">
        <f>IF(C20="","",VLOOKUP(C20,Table_ingredients[],10,FALSE))</f>
        <v/>
      </c>
      <c r="N20" s="767" t="str">
        <f>IF(C20="","",VLOOKUP(C20,Table_ingredients[],12,FALSE))</f>
        <v/>
      </c>
      <c r="O20" s="472" t="str">
        <f t="shared" si="3"/>
        <v>No</v>
      </c>
      <c r="P20" s="471">
        <f t="shared" si="0"/>
        <v>0</v>
      </c>
      <c r="Q20" s="475" t="str">
        <f>IF(C20="","",VLOOKUP(C20,Table_ingredients[],13,FALSE))</f>
        <v/>
      </c>
      <c r="R20" s="471">
        <f t="shared" si="1"/>
        <v>0</v>
      </c>
      <c r="S20" s="104"/>
      <c r="T20" s="120">
        <f t="shared" si="2"/>
        <v>0</v>
      </c>
      <c r="V20" s="59" t="s">
        <v>896</v>
      </c>
      <c r="W20" s="46">
        <v>0.4</v>
      </c>
      <c r="X20" s="46">
        <v>3.5000000000000003E-2</v>
      </c>
      <c r="Y20" s="46">
        <v>0.46500000000000002</v>
      </c>
      <c r="Z20" s="46">
        <v>0.03</v>
      </c>
      <c r="AA20" s="46">
        <v>0.1</v>
      </c>
      <c r="AB20" s="46">
        <v>1.4999999999999999E-2</v>
      </c>
      <c r="AC20" s="46">
        <v>0.08</v>
      </c>
      <c r="AD20" s="46">
        <v>6.4000000000000001E-2</v>
      </c>
      <c r="AE20" s="46">
        <v>0.92</v>
      </c>
      <c r="AF20" s="59" t="s">
        <v>1576</v>
      </c>
      <c r="AG20" s="59"/>
      <c r="AH20" s="59" t="s">
        <v>1635</v>
      </c>
    </row>
    <row r="21" spans="1:34" s="59" customFormat="1" x14ac:dyDescent="0.25">
      <c r="B21" s="13" t="s">
        <v>518</v>
      </c>
      <c r="C21" s="764"/>
      <c r="D21" s="773"/>
      <c r="E21" s="761" t="str">
        <f>IF(C21="","",VLOOKUP(C21,Table_ingredients[],2,FALSE))</f>
        <v/>
      </c>
      <c r="F21" s="761" t="str">
        <f>IF(C21="","",VLOOKUP(C21,Table_ingredients[],3,FALSE))</f>
        <v/>
      </c>
      <c r="G21" s="761" t="str">
        <f>IF(C21="","",VLOOKUP(C21,Table_ingredients[],4,FALSE))</f>
        <v/>
      </c>
      <c r="H21" s="761" t="str">
        <f>IF(C21="","",VLOOKUP(C21,Table_ingredients[],5,FALSE))</f>
        <v/>
      </c>
      <c r="I21" s="761" t="str">
        <f>IF(C21="","",VLOOKUP(C21,Table_ingredients[],6,FALSE))</f>
        <v/>
      </c>
      <c r="J21" s="761" t="str">
        <f>IF(C21="","",VLOOKUP(C21,Table_ingredients[],7,FALSE))</f>
        <v/>
      </c>
      <c r="K21" s="761" t="str">
        <f>IF(C21="","",VLOOKUP(C21,Table_ingredients[],8,FALSE))</f>
        <v/>
      </c>
      <c r="L21" s="474" t="str">
        <f>IF(C21="","",VLOOKUP(C21,Table_ingredients[],9,FALSE))</f>
        <v/>
      </c>
      <c r="M21" s="772" t="str">
        <f>IF(C21="","",VLOOKUP(C21,Table_ingredients[],10,FALSE))</f>
        <v/>
      </c>
      <c r="N21" s="767" t="str">
        <f>IF(C21="","",VLOOKUP(C21,Table_ingredients[],12,FALSE))</f>
        <v/>
      </c>
      <c r="O21" s="472" t="str">
        <f t="shared" si="3"/>
        <v>No</v>
      </c>
      <c r="P21" s="471">
        <f t="shared" si="0"/>
        <v>0</v>
      </c>
      <c r="Q21" s="475" t="str">
        <f>IF(C21="","",VLOOKUP(C21,Table_ingredients[],13,FALSE))</f>
        <v/>
      </c>
      <c r="R21" s="471">
        <f t="shared" si="1"/>
        <v>0</v>
      </c>
      <c r="S21" s="104"/>
      <c r="T21" s="120">
        <f t="shared" si="2"/>
        <v>0</v>
      </c>
      <c r="V21" s="59" t="s">
        <v>886</v>
      </c>
      <c r="W21" s="46">
        <v>0.68099999999999994</v>
      </c>
      <c r="X21" s="46">
        <v>0.10400000000000001</v>
      </c>
      <c r="Y21" s="46">
        <v>0.13500000000000006</v>
      </c>
      <c r="Z21" s="46">
        <v>0</v>
      </c>
      <c r="AA21" s="46">
        <v>0.08</v>
      </c>
      <c r="AB21" s="46">
        <v>0.01</v>
      </c>
      <c r="AC21" s="46">
        <v>1.4000000000000058E-2</v>
      </c>
      <c r="AD21" s="46">
        <v>0.10895999999999999</v>
      </c>
      <c r="AE21" s="46">
        <v>0.98599999999999999</v>
      </c>
      <c r="AF21" s="59" t="s">
        <v>1576</v>
      </c>
      <c r="AH21" s="59" t="s">
        <v>1635</v>
      </c>
    </row>
    <row r="22" spans="1:34" s="487" customFormat="1" ht="15.75" customHeight="1" x14ac:dyDescent="0.25">
      <c r="B22" s="13" t="s">
        <v>520</v>
      </c>
      <c r="C22" s="764"/>
      <c r="D22" s="773"/>
      <c r="E22" s="761" t="str">
        <f>IF(C22="","",VLOOKUP(C22,Table_ingredients[],2,FALSE))</f>
        <v/>
      </c>
      <c r="F22" s="761" t="str">
        <f>IF(C22="","",VLOOKUP(C22,Table_ingredients[],3,FALSE))</f>
        <v/>
      </c>
      <c r="G22" s="761" t="str">
        <f>IF(C22="","",VLOOKUP(C22,Table_ingredients[],4,FALSE))</f>
        <v/>
      </c>
      <c r="H22" s="761" t="str">
        <f>IF(C22="","",VLOOKUP(C22,Table_ingredients[],5,FALSE))</f>
        <v/>
      </c>
      <c r="I22" s="761" t="str">
        <f>IF(C22="","",VLOOKUP(C22,Table_ingredients[],6,FALSE))</f>
        <v/>
      </c>
      <c r="J22" s="761" t="str">
        <f>IF(C22="","",VLOOKUP(C22,Table_ingredients[],7,FALSE))</f>
        <v/>
      </c>
      <c r="K22" s="761" t="str">
        <f>IF(C22="","",VLOOKUP(C22,Table_ingredients[],8,FALSE))</f>
        <v/>
      </c>
      <c r="L22" s="474" t="str">
        <f>IF(C22="","",VLOOKUP(C22,Table_ingredients[],9,FALSE))</f>
        <v/>
      </c>
      <c r="M22" s="772" t="str">
        <f>IF(C22="","",VLOOKUP(C22,Table_ingredients[],10,FALSE))</f>
        <v/>
      </c>
      <c r="N22" s="767" t="str">
        <f>IF(C22="","",VLOOKUP(C22,Table_ingredients[],12,FALSE))</f>
        <v/>
      </c>
      <c r="O22" s="472" t="str">
        <f t="shared" si="3"/>
        <v>No</v>
      </c>
      <c r="P22" s="471">
        <f t="shared" si="0"/>
        <v>0</v>
      </c>
      <c r="Q22" s="475" t="str">
        <f>IF(C22="","",VLOOKUP(C22,Table_ingredients[],13,FALSE))</f>
        <v/>
      </c>
      <c r="R22" s="471">
        <f t="shared" si="1"/>
        <v>0</v>
      </c>
      <c r="S22" s="104"/>
      <c r="T22" s="120">
        <f t="shared" si="2"/>
        <v>0</v>
      </c>
      <c r="V22" s="59" t="s">
        <v>885</v>
      </c>
      <c r="W22" s="46">
        <v>0.71799999999999997</v>
      </c>
      <c r="X22" s="46">
        <v>5.5E-2</v>
      </c>
      <c r="Y22" s="46">
        <v>0.12600000000000003</v>
      </c>
      <c r="Z22" s="46">
        <v>8.0000000000000002E-3</v>
      </c>
      <c r="AA22" s="46">
        <v>0.10099999999999999</v>
      </c>
      <c r="AB22" s="46">
        <v>2.3300000000000001E-2</v>
      </c>
      <c r="AC22" s="46">
        <v>5.4000000000000055E-2</v>
      </c>
      <c r="AD22" s="46">
        <v>0.11488</v>
      </c>
      <c r="AE22" s="46">
        <v>0.94599999999999995</v>
      </c>
      <c r="AF22" s="59" t="s">
        <v>1576</v>
      </c>
      <c r="AG22" s="59"/>
      <c r="AH22" s="59" t="s">
        <v>1635</v>
      </c>
    </row>
    <row r="23" spans="1:34" s="487" customFormat="1" ht="15.75" customHeight="1" x14ac:dyDescent="0.25">
      <c r="B23" s="13" t="s">
        <v>521</v>
      </c>
      <c r="C23" s="764"/>
      <c r="D23" s="774"/>
      <c r="E23" s="761" t="str">
        <f>IF(C23="","",VLOOKUP(C23,Table_ingredients[],2,FALSE))</f>
        <v/>
      </c>
      <c r="F23" s="761" t="str">
        <f>IF(C23="","",VLOOKUP(C23,Table_ingredients[],3,FALSE))</f>
        <v/>
      </c>
      <c r="G23" s="761" t="str">
        <f>IF(C23="","",VLOOKUP(C23,Table_ingredients[],4,FALSE))</f>
        <v/>
      </c>
      <c r="H23" s="761" t="str">
        <f>IF(C23="","",VLOOKUP(C23,Table_ingredients[],5,FALSE))</f>
        <v/>
      </c>
      <c r="I23" s="761" t="str">
        <f>IF(C23="","",VLOOKUP(C23,Table_ingredients[],6,FALSE))</f>
        <v/>
      </c>
      <c r="J23" s="761" t="str">
        <f>IF(C23="","",VLOOKUP(C23,Table_ingredients[],7,FALSE))</f>
        <v/>
      </c>
      <c r="K23" s="761" t="str">
        <f>IF(C23="","",VLOOKUP(C23,Table_ingredients[],8,FALSE))</f>
        <v/>
      </c>
      <c r="L23" s="474" t="str">
        <f>IF(C23="","",VLOOKUP(C23,Table_ingredients[],9,FALSE))</f>
        <v/>
      </c>
      <c r="M23" s="772" t="str">
        <f>IF(C23="","",VLOOKUP(C23,Table_ingredients[],10,FALSE))</f>
        <v/>
      </c>
      <c r="N23" s="767" t="str">
        <f>IF(C23="","",VLOOKUP(C23,Table_ingredients[],12,FALSE))</f>
        <v/>
      </c>
      <c r="O23" s="472" t="str">
        <f t="shared" si="3"/>
        <v>No</v>
      </c>
      <c r="P23" s="471">
        <f t="shared" si="0"/>
        <v>0</v>
      </c>
      <c r="Q23" s="475" t="str">
        <f>IF(C23="","",VLOOKUP(C23,Table_ingredients[],13,FALSE))</f>
        <v/>
      </c>
      <c r="R23" s="471">
        <f t="shared" si="1"/>
        <v>0</v>
      </c>
      <c r="S23" s="104"/>
      <c r="T23" s="120">
        <f t="shared" si="2"/>
        <v>0</v>
      </c>
      <c r="V23" s="59" t="s">
        <v>678</v>
      </c>
      <c r="W23" s="46">
        <v>3.9E-2</v>
      </c>
      <c r="X23" s="46">
        <v>1.8000000000000002E-2</v>
      </c>
      <c r="Y23" s="46">
        <v>0.89700000000000002</v>
      </c>
      <c r="Z23" s="46">
        <v>9.9000000000000005E-2</v>
      </c>
      <c r="AA23" s="46">
        <v>4.5999999999999999E-2</v>
      </c>
      <c r="AB23" s="46">
        <v>7.4000000000000003E-3</v>
      </c>
      <c r="AC23" s="46">
        <v>4.5999999999999944E-2</v>
      </c>
      <c r="AD23" s="46">
        <v>6.2399999999999999E-3</v>
      </c>
      <c r="AE23" s="46">
        <v>0.95400000000000007</v>
      </c>
      <c r="AF23" s="59" t="s">
        <v>1576</v>
      </c>
      <c r="AG23" s="59"/>
      <c r="AH23" s="59" t="s">
        <v>1635</v>
      </c>
    </row>
    <row r="24" spans="1:34" s="487" customFormat="1" ht="15.75" customHeight="1" x14ac:dyDescent="0.25">
      <c r="B24" s="13" t="s">
        <v>522</v>
      </c>
      <c r="C24" s="764"/>
      <c r="D24" s="774"/>
      <c r="E24" s="761" t="str">
        <f>IF(C24="","",VLOOKUP(C24,Table_ingredients[],2,FALSE))</f>
        <v/>
      </c>
      <c r="F24" s="761" t="str">
        <f>IF(C24="","",VLOOKUP(C24,Table_ingredients[],3,FALSE))</f>
        <v/>
      </c>
      <c r="G24" s="761" t="str">
        <f>IF(C24="","",VLOOKUP(C24,Table_ingredients[],4,FALSE))</f>
        <v/>
      </c>
      <c r="H24" s="761" t="str">
        <f>IF(C24="","",VLOOKUP(C24,Table_ingredients[],5,FALSE))</f>
        <v/>
      </c>
      <c r="I24" s="761" t="str">
        <f>IF(C24="","",VLOOKUP(C24,Table_ingredients[],6,FALSE))</f>
        <v/>
      </c>
      <c r="J24" s="761" t="str">
        <f>IF(C24="","",VLOOKUP(C24,Table_ingredients[],7,FALSE))</f>
        <v/>
      </c>
      <c r="K24" s="761" t="str">
        <f>IF(C24="","",VLOOKUP(C24,Table_ingredients[],8,FALSE))</f>
        <v/>
      </c>
      <c r="L24" s="474" t="str">
        <f>IF(C24="","",VLOOKUP(C24,Table_ingredients[],9,FALSE))</f>
        <v/>
      </c>
      <c r="M24" s="772" t="str">
        <f>IF(C24="","",VLOOKUP(C24,Table_ingredients[],10,FALSE))</f>
        <v/>
      </c>
      <c r="N24" s="767" t="str">
        <f>IF(C24="","",VLOOKUP(C24,Table_ingredients[],12,FALSE))</f>
        <v/>
      </c>
      <c r="O24" s="472" t="str">
        <f t="shared" si="3"/>
        <v>No</v>
      </c>
      <c r="P24" s="471">
        <f t="shared" si="0"/>
        <v>0</v>
      </c>
      <c r="Q24" s="475" t="str">
        <f>IF(C24="","",VLOOKUP(C24,Table_ingredients[],13,FALSE))</f>
        <v/>
      </c>
      <c r="R24" s="471">
        <f t="shared" si="1"/>
        <v>0</v>
      </c>
      <c r="S24" s="104"/>
      <c r="T24" s="120">
        <f t="shared" si="2"/>
        <v>0</v>
      </c>
      <c r="V24" s="59" t="s">
        <v>680</v>
      </c>
      <c r="W24" s="46">
        <v>0.52400000000000002</v>
      </c>
      <c r="X24" s="46">
        <v>0.06</v>
      </c>
      <c r="Y24" s="46">
        <v>0.376</v>
      </c>
      <c r="Z24" s="46">
        <v>0.05</v>
      </c>
      <c r="AA24" s="46">
        <v>0.04</v>
      </c>
      <c r="AB24" s="46">
        <v>1.0500000000000001E-2</v>
      </c>
      <c r="AC24" s="46">
        <v>6.9000000000000061E-2</v>
      </c>
      <c r="AD24" s="46">
        <v>8.3839999999999998E-2</v>
      </c>
      <c r="AE24" s="46">
        <v>0.93099999999999994</v>
      </c>
      <c r="AF24" s="59" t="s">
        <v>1576</v>
      </c>
      <c r="AG24" s="59"/>
      <c r="AH24" s="59" t="s">
        <v>1635</v>
      </c>
    </row>
    <row r="25" spans="1:34" s="79" customFormat="1" x14ac:dyDescent="0.25">
      <c r="B25" s="13" t="s">
        <v>523</v>
      </c>
      <c r="C25" s="764"/>
      <c r="D25" s="774"/>
      <c r="E25" s="761" t="str">
        <f>IF(C25="","",VLOOKUP(C25,Table_ingredients[],2,FALSE))</f>
        <v/>
      </c>
      <c r="F25" s="761" t="str">
        <f>IF(C25="","",VLOOKUP(C25,Table_ingredients[],3,FALSE))</f>
        <v/>
      </c>
      <c r="G25" s="761" t="str">
        <f>IF(C25="","",VLOOKUP(C25,Table_ingredients[],4,FALSE))</f>
        <v/>
      </c>
      <c r="H25" s="761" t="str">
        <f>IF(C25="","",VLOOKUP(C25,Table_ingredients[],5,FALSE))</f>
        <v/>
      </c>
      <c r="I25" s="761" t="str">
        <f>IF(C25="","",VLOOKUP(C25,Table_ingredients[],6,FALSE))</f>
        <v/>
      </c>
      <c r="J25" s="761" t="str">
        <f>IF(C25="","",VLOOKUP(C25,Table_ingredients[],7,FALSE))</f>
        <v/>
      </c>
      <c r="K25" s="761" t="str">
        <f>IF(C25="","",VLOOKUP(C25,Table_ingredients[],8,FALSE))</f>
        <v/>
      </c>
      <c r="L25" s="474" t="str">
        <f>IF(C25="","",VLOOKUP(C25,Table_ingredients[],9,FALSE))</f>
        <v/>
      </c>
      <c r="M25" s="772" t="str">
        <f>IF(C25="","",VLOOKUP(C25,Table_ingredients[],10,FALSE))</f>
        <v/>
      </c>
      <c r="N25" s="767" t="str">
        <f>IF(C25="","",VLOOKUP(C25,Table_ingredients[],12,FALSE))</f>
        <v/>
      </c>
      <c r="O25" s="472" t="str">
        <f t="shared" si="3"/>
        <v>No</v>
      </c>
      <c r="P25" s="471">
        <f t="shared" si="0"/>
        <v>0</v>
      </c>
      <c r="Q25" s="475" t="str">
        <f>IF(C25="","",VLOOKUP(C25,Table_ingredients[],13,FALSE))</f>
        <v/>
      </c>
      <c r="R25" s="471">
        <f t="shared" si="1"/>
        <v>0</v>
      </c>
      <c r="S25" s="104"/>
      <c r="T25" s="120">
        <f t="shared" si="2"/>
        <v>0</v>
      </c>
      <c r="U25" s="161"/>
      <c r="V25" s="59" t="s">
        <v>679</v>
      </c>
      <c r="W25" s="46">
        <v>0.27200000000000002</v>
      </c>
      <c r="X25" s="46">
        <v>1.3000000000000001E-2</v>
      </c>
      <c r="Y25" s="46">
        <v>0.67500000000000004</v>
      </c>
      <c r="Z25" s="46">
        <v>0.05</v>
      </c>
      <c r="AA25" s="46">
        <v>0.04</v>
      </c>
      <c r="AB25" s="46">
        <v>6.1999999999999998E-3</v>
      </c>
      <c r="AC25" s="46">
        <v>7.2000000000000022E-2</v>
      </c>
      <c r="AD25" s="46">
        <v>4.3520000000000003E-2</v>
      </c>
      <c r="AE25" s="46">
        <v>0.92799999999999994</v>
      </c>
      <c r="AF25" s="59" t="s">
        <v>1576</v>
      </c>
      <c r="AG25" s="59"/>
      <c r="AH25" s="59" t="s">
        <v>1635</v>
      </c>
    </row>
    <row r="26" spans="1:34" x14ac:dyDescent="0.25">
      <c r="B26" s="13" t="s">
        <v>1057</v>
      </c>
      <c r="C26" s="764"/>
      <c r="D26" s="774"/>
      <c r="E26" s="761" t="str">
        <f>IF(C26="","",VLOOKUP(C26,Table_ingredients[],2,FALSE))</f>
        <v/>
      </c>
      <c r="F26" s="761" t="str">
        <f>IF(C26="","",VLOOKUP(C26,Table_ingredients[],3,FALSE))</f>
        <v/>
      </c>
      <c r="G26" s="761" t="str">
        <f>IF(C26="","",VLOOKUP(C26,Table_ingredients[],4,FALSE))</f>
        <v/>
      </c>
      <c r="H26" s="761" t="str">
        <f>IF(C26="","",VLOOKUP(C26,Table_ingredients[],5,FALSE))</f>
        <v/>
      </c>
      <c r="I26" s="761" t="str">
        <f>IF(C26="","",VLOOKUP(C26,Table_ingredients[],6,FALSE))</f>
        <v/>
      </c>
      <c r="J26" s="761" t="str">
        <f>IF(C26="","",VLOOKUP(C26,Table_ingredients[],7,FALSE))</f>
        <v/>
      </c>
      <c r="K26" s="761" t="str">
        <f>IF(C26="","",VLOOKUP(C26,Table_ingredients[],8,FALSE))</f>
        <v/>
      </c>
      <c r="L26" s="474" t="str">
        <f>IF(C26="","",VLOOKUP(C26,Table_ingredients[],9,FALSE))</f>
        <v/>
      </c>
      <c r="M26" s="772" t="str">
        <f>IF(C26="","",VLOOKUP(C26,Table_ingredients[],10,FALSE))</f>
        <v/>
      </c>
      <c r="N26" s="767" t="str">
        <f>IF(C26="","",VLOOKUP(C26,Table_ingredients[],12,FALSE))</f>
        <v/>
      </c>
      <c r="O26" s="472" t="str">
        <f t="shared" si="3"/>
        <v>No</v>
      </c>
      <c r="P26" s="471">
        <f t="shared" si="0"/>
        <v>0</v>
      </c>
      <c r="Q26" s="475" t="str">
        <f>IF(C26="","",VLOOKUP(C26,Table_ingredients[],13,FALSE))</f>
        <v/>
      </c>
      <c r="R26" s="471">
        <f t="shared" si="1"/>
        <v>0</v>
      </c>
      <c r="S26" s="104"/>
      <c r="T26" s="120">
        <f t="shared" si="2"/>
        <v>0</v>
      </c>
      <c r="V26" s="59" t="s">
        <v>681</v>
      </c>
      <c r="W26" s="46">
        <v>0.13</v>
      </c>
      <c r="X26" s="46">
        <v>2.1000000000000001E-2</v>
      </c>
      <c r="Y26" s="46">
        <v>0.82100000000000006</v>
      </c>
      <c r="Z26" s="46">
        <v>5.7999999999999996E-2</v>
      </c>
      <c r="AA26" s="46">
        <v>2.7999999999999997E-2</v>
      </c>
      <c r="AB26" s="46">
        <v>3.7000000000000002E-3</v>
      </c>
      <c r="AC26" s="46">
        <v>9.4000000000000056E-2</v>
      </c>
      <c r="AD26" s="46">
        <v>2.0799999999999999E-2</v>
      </c>
      <c r="AE26" s="46">
        <v>0.90599999999999992</v>
      </c>
      <c r="AF26" s="59" t="s">
        <v>1576</v>
      </c>
      <c r="AG26" s="59"/>
      <c r="AH26" s="59" t="s">
        <v>1635</v>
      </c>
    </row>
    <row r="27" spans="1:34" x14ac:dyDescent="0.25">
      <c r="B27" s="13" t="s">
        <v>1058</v>
      </c>
      <c r="C27" s="764"/>
      <c r="D27" s="774"/>
      <c r="E27" s="761" t="str">
        <f>IF(C27="","",VLOOKUP(C27,Table_ingredients[],2,FALSE))</f>
        <v/>
      </c>
      <c r="F27" s="761" t="str">
        <f>IF(C27="","",VLOOKUP(C27,Table_ingredients[],3,FALSE))</f>
        <v/>
      </c>
      <c r="G27" s="761" t="str">
        <f>IF(C27="","",VLOOKUP(C27,Table_ingredients[],4,FALSE))</f>
        <v/>
      </c>
      <c r="H27" s="761" t="str">
        <f>IF(C27="","",VLOOKUP(C27,Table_ingredients[],5,FALSE))</f>
        <v/>
      </c>
      <c r="I27" s="761" t="str">
        <f>IF(C27="","",VLOOKUP(C27,Table_ingredients[],6,FALSE))</f>
        <v/>
      </c>
      <c r="J27" s="761" t="str">
        <f>IF(C27="","",VLOOKUP(C27,Table_ingredients[],7,FALSE))</f>
        <v/>
      </c>
      <c r="K27" s="761" t="str">
        <f>IF(C27="","",VLOOKUP(C27,Table_ingredients[],8,FALSE))</f>
        <v/>
      </c>
      <c r="L27" s="474" t="str">
        <f>IF(C27="","",VLOOKUP(C27,Table_ingredients[],9,FALSE))</f>
        <v/>
      </c>
      <c r="M27" s="772" t="str">
        <f>IF(C27="","",VLOOKUP(C27,Table_ingredients[],10,FALSE))</f>
        <v/>
      </c>
      <c r="N27" s="767" t="str">
        <f>IF(C27="","",VLOOKUP(C27,Table_ingredients[],12,FALSE))</f>
        <v/>
      </c>
      <c r="O27" s="472" t="str">
        <f t="shared" si="3"/>
        <v>No</v>
      </c>
      <c r="P27" s="471">
        <f t="shared" si="0"/>
        <v>0</v>
      </c>
      <c r="Q27" s="475" t="str">
        <f>IF(C27="","",VLOOKUP(C27,Table_ingredients[],13,FALSE))</f>
        <v/>
      </c>
      <c r="R27" s="471">
        <f t="shared" si="1"/>
        <v>0</v>
      </c>
      <c r="S27" s="104"/>
      <c r="T27" s="120">
        <f t="shared" si="2"/>
        <v>0</v>
      </c>
      <c r="V27" s="59" t="s">
        <v>682</v>
      </c>
      <c r="W27" s="46">
        <v>0.26200000000000001</v>
      </c>
      <c r="X27" s="46">
        <v>1.3999999999999999E-2</v>
      </c>
      <c r="Y27" s="46">
        <v>0.66599999999999993</v>
      </c>
      <c r="Z27" s="46">
        <v>0.13900000000000001</v>
      </c>
      <c r="AA27" s="46">
        <v>5.7999999999999996E-2</v>
      </c>
      <c r="AB27" s="46">
        <v>7.3000000000000001E-3</v>
      </c>
      <c r="AC27" s="46">
        <v>8.9000000000000051E-2</v>
      </c>
      <c r="AD27" s="46">
        <v>4.1919999999999999E-2</v>
      </c>
      <c r="AE27" s="46">
        <v>0.91099999999999992</v>
      </c>
      <c r="AF27" s="59" t="s">
        <v>1576</v>
      </c>
      <c r="AG27" s="59"/>
      <c r="AH27" s="59" t="s">
        <v>1635</v>
      </c>
    </row>
    <row r="28" spans="1:34" x14ac:dyDescent="0.25">
      <c r="B28" s="13" t="s">
        <v>1059</v>
      </c>
      <c r="C28" s="764"/>
      <c r="D28" s="774"/>
      <c r="E28" s="761" t="str">
        <f>IF(C28="","",VLOOKUP(C28,Table_ingredients[],2,FALSE))</f>
        <v/>
      </c>
      <c r="F28" s="761" t="str">
        <f>IF(C28="","",VLOOKUP(C28,Table_ingredients[],3,FALSE))</f>
        <v/>
      </c>
      <c r="G28" s="761" t="str">
        <f>IF(C28="","",VLOOKUP(C28,Table_ingredients[],4,FALSE))</f>
        <v/>
      </c>
      <c r="H28" s="761" t="str">
        <f>IF(C28="","",VLOOKUP(C28,Table_ingredients[],5,FALSE))</f>
        <v/>
      </c>
      <c r="I28" s="761" t="str">
        <f>IF(C28="","",VLOOKUP(C28,Table_ingredients[],6,FALSE))</f>
        <v/>
      </c>
      <c r="J28" s="761" t="str">
        <f>IF(C28="","",VLOOKUP(C28,Table_ingredients[],7,FALSE))</f>
        <v/>
      </c>
      <c r="K28" s="761" t="str">
        <f>IF(C28="","",VLOOKUP(C28,Table_ingredients[],8,FALSE))</f>
        <v/>
      </c>
      <c r="L28" s="474" t="str">
        <f>IF(C28="","",VLOOKUP(C28,Table_ingredients[],9,FALSE))</f>
        <v/>
      </c>
      <c r="M28" s="772" t="str">
        <f>IF(C28="","",VLOOKUP(C28,Table_ingredients[],10,FALSE))</f>
        <v/>
      </c>
      <c r="N28" s="767" t="str">
        <f>IF(C28="","",VLOOKUP(C28,Table_ingredients[],12,FALSE))</f>
        <v/>
      </c>
      <c r="O28" s="472" t="str">
        <f t="shared" si="3"/>
        <v>No</v>
      </c>
      <c r="P28" s="471">
        <f t="shared" si="0"/>
        <v>0</v>
      </c>
      <c r="Q28" s="475" t="str">
        <f>IF(C28="","",VLOOKUP(C28,Table_ingredients[],13,FALSE))</f>
        <v/>
      </c>
      <c r="R28" s="471">
        <f t="shared" si="1"/>
        <v>0</v>
      </c>
      <c r="S28" s="104"/>
      <c r="T28" s="120">
        <f t="shared" si="2"/>
        <v>0</v>
      </c>
      <c r="V28" s="59" t="s">
        <v>683</v>
      </c>
      <c r="W28" s="46">
        <v>0.17699999999999999</v>
      </c>
      <c r="X28" s="46">
        <v>1.9E-2</v>
      </c>
      <c r="Y28" s="46">
        <v>0.74699999999999989</v>
      </c>
      <c r="Z28" s="46">
        <v>0.13300000000000001</v>
      </c>
      <c r="AA28" s="46">
        <v>5.7000000000000002E-2</v>
      </c>
      <c r="AB28" s="46">
        <v>4.1999999999999997E-3</v>
      </c>
      <c r="AC28" s="46">
        <v>9.2000000000000026E-2</v>
      </c>
      <c r="AD28" s="46">
        <v>2.8319999999999998E-2</v>
      </c>
      <c r="AE28" s="46">
        <v>0.90799999999999992</v>
      </c>
      <c r="AF28" s="59" t="s">
        <v>1576</v>
      </c>
      <c r="AG28" s="59"/>
      <c r="AH28" s="59" t="s">
        <v>1635</v>
      </c>
    </row>
    <row r="29" spans="1:34" x14ac:dyDescent="0.25">
      <c r="B29" s="13" t="s">
        <v>1060</v>
      </c>
      <c r="C29" s="764"/>
      <c r="D29" s="774"/>
      <c r="E29" s="761" t="str">
        <f>IF(C29="","",VLOOKUP(C29,Table_ingredients[],2,FALSE))</f>
        <v/>
      </c>
      <c r="F29" s="761" t="str">
        <f>IF(C29="","",VLOOKUP(C29,Table_ingredients[],3,FALSE))</f>
        <v/>
      </c>
      <c r="G29" s="761" t="str">
        <f>IF(C29="","",VLOOKUP(C29,Table_ingredients[],4,FALSE))</f>
        <v/>
      </c>
      <c r="H29" s="761" t="str">
        <f>IF(C29="","",VLOOKUP(C29,Table_ingredients[],5,FALSE))</f>
        <v/>
      </c>
      <c r="I29" s="761" t="str">
        <f>IF(C29="","",VLOOKUP(C29,Table_ingredients[],6,FALSE))</f>
        <v/>
      </c>
      <c r="J29" s="761" t="str">
        <f>IF(C29="","",VLOOKUP(C29,Table_ingredients[],7,FALSE))</f>
        <v/>
      </c>
      <c r="K29" s="761" t="str">
        <f>IF(C29="","",VLOOKUP(C29,Table_ingredients[],8,FALSE))</f>
        <v/>
      </c>
      <c r="L29" s="474" t="str">
        <f>IF(C29="","",VLOOKUP(C29,Table_ingredients[],9,FALSE))</f>
        <v/>
      </c>
      <c r="M29" s="772" t="str">
        <f>IF(C29="","",VLOOKUP(C29,Table_ingredients[],10,FALSE))</f>
        <v/>
      </c>
      <c r="N29" s="767" t="str">
        <f>IF(C29="","",VLOOKUP(C29,Table_ingredients[],12,FALSE))</f>
        <v/>
      </c>
      <c r="O29" s="472" t="str">
        <f t="shared" si="3"/>
        <v>No</v>
      </c>
      <c r="P29" s="471">
        <f t="shared" si="0"/>
        <v>0</v>
      </c>
      <c r="Q29" s="475" t="str">
        <f>IF(C29="","",VLOOKUP(C29,Table_ingredients[],13,FALSE))</f>
        <v/>
      </c>
      <c r="R29" s="471">
        <f t="shared" si="1"/>
        <v>0</v>
      </c>
      <c r="S29" s="104"/>
      <c r="T29" s="120">
        <f t="shared" si="2"/>
        <v>0</v>
      </c>
      <c r="V29" s="59" t="s">
        <v>684</v>
      </c>
      <c r="W29" s="46">
        <v>0.13900000000000001</v>
      </c>
      <c r="X29" s="46">
        <v>1.8000000000000002E-2</v>
      </c>
      <c r="Y29" s="46">
        <v>0.82099999999999995</v>
      </c>
      <c r="Z29" s="46">
        <v>0.03</v>
      </c>
      <c r="AA29" s="46">
        <v>2.2000000000000002E-2</v>
      </c>
      <c r="AB29" s="46">
        <v>5.0000000000000001E-3</v>
      </c>
      <c r="AC29" s="46">
        <v>0.09</v>
      </c>
      <c r="AD29" s="46">
        <v>2.2240000000000003E-2</v>
      </c>
      <c r="AE29" s="46">
        <v>0.91</v>
      </c>
      <c r="AF29" s="59" t="s">
        <v>1576</v>
      </c>
      <c r="AG29" s="59"/>
      <c r="AH29" s="59" t="s">
        <v>1635</v>
      </c>
    </row>
    <row r="30" spans="1:34" x14ac:dyDescent="0.25">
      <c r="B30" s="13" t="s">
        <v>1061</v>
      </c>
      <c r="C30" s="764"/>
      <c r="D30" s="774"/>
      <c r="E30" s="761" t="str">
        <f>IF(C30="","",VLOOKUP(C30,Table_ingredients[],2,FALSE))</f>
        <v/>
      </c>
      <c r="F30" s="761" t="str">
        <f>IF(C30="","",VLOOKUP(C30,Table_ingredients[],3,FALSE))</f>
        <v/>
      </c>
      <c r="G30" s="761" t="str">
        <f>IF(C30="","",VLOOKUP(C30,Table_ingredients[],4,FALSE))</f>
        <v/>
      </c>
      <c r="H30" s="761" t="str">
        <f>IF(C30="","",VLOOKUP(C30,Table_ingredients[],5,FALSE))</f>
        <v/>
      </c>
      <c r="I30" s="761" t="str">
        <f>IF(C30="","",VLOOKUP(C30,Table_ingredients[],6,FALSE))</f>
        <v/>
      </c>
      <c r="J30" s="761" t="str">
        <f>IF(C30="","",VLOOKUP(C30,Table_ingredients[],7,FALSE))</f>
        <v/>
      </c>
      <c r="K30" s="761" t="str">
        <f>IF(C30="","",VLOOKUP(C30,Table_ingredients[],8,FALSE))</f>
        <v/>
      </c>
      <c r="L30" s="474" t="str">
        <f>IF(C30="","",VLOOKUP(C30,Table_ingredients[],9,FALSE))</f>
        <v/>
      </c>
      <c r="M30" s="772" t="str">
        <f>IF(C30="","",VLOOKUP(C30,Table_ingredients[],10,FALSE))</f>
        <v/>
      </c>
      <c r="N30" s="767" t="str">
        <f>IF(C30="","",VLOOKUP(C30,Table_ingredients[],12,FALSE))</f>
        <v/>
      </c>
      <c r="O30" s="472" t="str">
        <f t="shared" si="3"/>
        <v>No</v>
      </c>
      <c r="P30" s="471">
        <f t="shared" si="0"/>
        <v>0</v>
      </c>
      <c r="Q30" s="475" t="str">
        <f>IF(C30="","",VLOOKUP(C30,Table_ingredients[],13,FALSE))</f>
        <v/>
      </c>
      <c r="R30" s="471">
        <f t="shared" si="1"/>
        <v>0</v>
      </c>
      <c r="S30" s="104"/>
      <c r="T30" s="120">
        <f t="shared" si="2"/>
        <v>0</v>
      </c>
      <c r="V30" s="59" t="s">
        <v>685</v>
      </c>
      <c r="W30" s="46">
        <v>0.124</v>
      </c>
      <c r="X30" s="46">
        <v>3.2000000000000001E-2</v>
      </c>
      <c r="Y30" s="46">
        <v>0.80199999999999994</v>
      </c>
      <c r="Z30" s="46">
        <v>0.106</v>
      </c>
      <c r="AA30" s="46">
        <v>4.2000000000000003E-2</v>
      </c>
      <c r="AB30" s="46">
        <v>4.0000000000000001E-3</v>
      </c>
      <c r="AC30" s="46">
        <v>0.10599999999999994</v>
      </c>
      <c r="AD30" s="46">
        <v>1.984E-2</v>
      </c>
      <c r="AE30" s="46">
        <v>0.89400000000000002</v>
      </c>
      <c r="AF30" s="59" t="s">
        <v>1576</v>
      </c>
      <c r="AG30" s="59"/>
      <c r="AH30" s="59" t="s">
        <v>1635</v>
      </c>
    </row>
    <row r="31" spans="1:34" ht="15.75" thickBot="1" x14ac:dyDescent="0.3">
      <c r="B31" s="16" t="s">
        <v>1062</v>
      </c>
      <c r="C31" s="765"/>
      <c r="D31" s="775"/>
      <c r="E31" s="776" t="str">
        <f>IF(C31="","",VLOOKUP(C31,Table_ingredients[],2,FALSE))</f>
        <v/>
      </c>
      <c r="F31" s="776" t="str">
        <f>IF(C31="","",VLOOKUP(C31,Table_ingredients[],3,FALSE))</f>
        <v/>
      </c>
      <c r="G31" s="776" t="str">
        <f>IF(C31="","",VLOOKUP(C31,Table_ingredients[],4,FALSE))</f>
        <v/>
      </c>
      <c r="H31" s="776" t="str">
        <f>IF(C31="","",VLOOKUP(C31,Table_ingredients[],5,FALSE))</f>
        <v/>
      </c>
      <c r="I31" s="776" t="str">
        <f>IF(C31="","",VLOOKUP(C31,Table_ingredients[],6,FALSE))</f>
        <v/>
      </c>
      <c r="J31" s="776" t="str">
        <f>IF(C31="","",VLOOKUP(C31,Table_ingredients[],7,FALSE))</f>
        <v/>
      </c>
      <c r="K31" s="776" t="str">
        <f>IF(C31="","",VLOOKUP(C31,Table_ingredients[],8,FALSE))</f>
        <v/>
      </c>
      <c r="L31" s="777" t="str">
        <f>IF(C31="","",VLOOKUP(C31,Table_ingredients[],9,FALSE))</f>
        <v/>
      </c>
      <c r="M31" s="778" t="str">
        <f>IF(C31="","",VLOOKUP(C31,Table_ingredients[],10,FALSE))</f>
        <v/>
      </c>
      <c r="N31" s="767" t="str">
        <f>IF(C31="","",VLOOKUP(C31,Table_ingredients[],12,FALSE))</f>
        <v/>
      </c>
      <c r="O31" s="479" t="str">
        <f t="shared" si="3"/>
        <v>No</v>
      </c>
      <c r="P31" s="478">
        <f t="shared" si="0"/>
        <v>0</v>
      </c>
      <c r="Q31" s="475" t="str">
        <f>IF(C31="","",VLOOKUP(C31,Table_ingredients[],13,FALSE))</f>
        <v/>
      </c>
      <c r="R31" s="478">
        <f t="shared" si="1"/>
        <v>0</v>
      </c>
      <c r="S31" s="477"/>
      <c r="T31" s="120">
        <f t="shared" si="2"/>
        <v>0</v>
      </c>
      <c r="V31" s="59" t="s">
        <v>1035</v>
      </c>
      <c r="W31" s="46">
        <v>0.08</v>
      </c>
      <c r="X31" s="46">
        <v>0.18</v>
      </c>
      <c r="Y31" s="46">
        <v>0.64</v>
      </c>
      <c r="Z31" s="46">
        <v>5.0000000000000001E-3</v>
      </c>
      <c r="AA31" s="46">
        <v>0.1</v>
      </c>
      <c r="AB31" s="46">
        <v>0</v>
      </c>
      <c r="AC31" s="46">
        <v>0.05</v>
      </c>
      <c r="AD31" s="46">
        <v>1.2800000000000001E-2</v>
      </c>
      <c r="AE31" s="46">
        <v>0.95</v>
      </c>
      <c r="AF31" s="59" t="s">
        <v>1576</v>
      </c>
      <c r="AG31" s="59"/>
      <c r="AH31" s="59" t="s">
        <v>1635</v>
      </c>
    </row>
    <row r="32" spans="1:34" ht="15.75" thickBot="1" x14ac:dyDescent="0.3">
      <c r="B32" s="26"/>
      <c r="C32" s="483" t="s">
        <v>1123</v>
      </c>
      <c r="D32" s="484">
        <f>SUM(D16:D31)</f>
        <v>0</v>
      </c>
      <c r="E32" s="759">
        <f>SUMPRODUCT($D$16:$D$31,E16:E31)</f>
        <v>0</v>
      </c>
      <c r="F32" s="759">
        <f t="shared" ref="F32:M32" si="4">SUMPRODUCT($D$16:$D$31,F16:F31)</f>
        <v>0</v>
      </c>
      <c r="G32" s="759">
        <f t="shared" si="4"/>
        <v>0</v>
      </c>
      <c r="H32" s="759">
        <f t="shared" si="4"/>
        <v>0</v>
      </c>
      <c r="I32" s="759">
        <f t="shared" si="4"/>
        <v>0</v>
      </c>
      <c r="J32" s="759">
        <f t="shared" si="4"/>
        <v>0</v>
      </c>
      <c r="K32" s="759">
        <f t="shared" si="4"/>
        <v>0</v>
      </c>
      <c r="L32" s="759">
        <f t="shared" si="4"/>
        <v>0</v>
      </c>
      <c r="M32" s="759">
        <f t="shared" si="4"/>
        <v>0</v>
      </c>
      <c r="N32" s="779"/>
      <c r="O32" s="780"/>
      <c r="P32" s="484">
        <f>SUM(P16:P31)</f>
        <v>0</v>
      </c>
      <c r="Q32" s="91"/>
      <c r="R32" s="485">
        <f>SUM(R16:R31)</f>
        <v>0</v>
      </c>
      <c r="S32" s="91"/>
      <c r="T32" s="486">
        <f>SUM(T16:T31)</f>
        <v>0</v>
      </c>
      <c r="V32" s="59" t="s">
        <v>958</v>
      </c>
      <c r="W32" s="46">
        <v>9.4E-2</v>
      </c>
      <c r="X32" s="46">
        <v>2.5000000000000001E-2</v>
      </c>
      <c r="Y32" s="46">
        <v>0.85099999999999998</v>
      </c>
      <c r="Z32" s="46">
        <v>2.2000000000000002E-2</v>
      </c>
      <c r="AA32" s="46">
        <v>0.03</v>
      </c>
      <c r="AB32" s="46">
        <v>0</v>
      </c>
      <c r="AC32" s="46">
        <v>0.01</v>
      </c>
      <c r="AD32" s="46">
        <v>1.504E-2</v>
      </c>
      <c r="AE32" s="46">
        <v>0.99</v>
      </c>
      <c r="AF32" s="59" t="s">
        <v>1576</v>
      </c>
      <c r="AG32" s="59"/>
      <c r="AH32" s="59" t="s">
        <v>1635</v>
      </c>
    </row>
    <row r="33" spans="2:34" ht="15.75" thickBot="1" x14ac:dyDescent="0.3">
      <c r="B33" s="480"/>
      <c r="C33" s="481"/>
      <c r="D33" s="482" t="str">
        <f>IF(D32=100%,"OK","Not 100%")</f>
        <v>Not 100%</v>
      </c>
      <c r="E33" s="760"/>
      <c r="F33" s="760"/>
      <c r="G33" s="760"/>
      <c r="H33" s="760"/>
      <c r="I33" s="760"/>
      <c r="J33" s="760"/>
      <c r="K33" s="760"/>
      <c r="L33" s="846"/>
      <c r="M33" s="847"/>
      <c r="N33" s="847"/>
      <c r="O33" s="847"/>
      <c r="P33" s="847"/>
      <c r="Q33" s="847"/>
      <c r="R33" s="847"/>
      <c r="S33" s="847"/>
      <c r="T33" s="848"/>
      <c r="V33" s="59" t="s">
        <v>1031</v>
      </c>
      <c r="W33" s="46">
        <v>0</v>
      </c>
      <c r="X33" s="46">
        <v>0</v>
      </c>
      <c r="Y33" s="46">
        <v>1</v>
      </c>
      <c r="Z33" s="46">
        <v>0</v>
      </c>
      <c r="AA33" s="46">
        <v>0</v>
      </c>
      <c r="AB33" s="46">
        <v>0</v>
      </c>
      <c r="AC33" s="46">
        <v>0.01</v>
      </c>
      <c r="AD33" s="46">
        <v>0</v>
      </c>
      <c r="AE33" s="46">
        <v>0.99</v>
      </c>
      <c r="AF33" s="59" t="s">
        <v>1576</v>
      </c>
      <c r="AG33" s="59"/>
      <c r="AH33" s="59" t="s">
        <v>1635</v>
      </c>
    </row>
    <row r="34" spans="2:34" ht="15.75" thickBot="1" x14ac:dyDescent="0.3">
      <c r="V34" s="59" t="s">
        <v>1030</v>
      </c>
      <c r="W34" s="46">
        <v>0</v>
      </c>
      <c r="X34" s="46">
        <v>0</v>
      </c>
      <c r="Y34" s="46">
        <v>1</v>
      </c>
      <c r="Z34" s="46">
        <v>0</v>
      </c>
      <c r="AA34" s="46">
        <v>0</v>
      </c>
      <c r="AB34" s="46">
        <v>0</v>
      </c>
      <c r="AC34" s="46">
        <v>0.01</v>
      </c>
      <c r="AD34" s="46">
        <v>0</v>
      </c>
      <c r="AE34" s="46">
        <v>0.99</v>
      </c>
      <c r="AF34" s="59" t="s">
        <v>1576</v>
      </c>
      <c r="AG34" s="59"/>
      <c r="AH34" s="59" t="s">
        <v>1635</v>
      </c>
    </row>
    <row r="35" spans="2:34" ht="21.75" thickBot="1" x14ac:dyDescent="0.4">
      <c r="B35" s="860" t="s">
        <v>1469</v>
      </c>
      <c r="C35" s="861"/>
      <c r="D35" s="861"/>
      <c r="E35" s="861"/>
      <c r="F35" s="862"/>
      <c r="G35" s="862"/>
      <c r="H35" s="861"/>
      <c r="I35" s="861"/>
      <c r="J35" s="861"/>
      <c r="K35" s="861"/>
      <c r="L35" s="861"/>
      <c r="M35" s="861"/>
      <c r="N35" s="861"/>
      <c r="O35" s="861"/>
      <c r="P35" s="861"/>
      <c r="Q35" s="861"/>
      <c r="R35" s="861"/>
      <c r="S35" s="861"/>
      <c r="T35" s="863"/>
      <c r="V35" s="59" t="s">
        <v>957</v>
      </c>
      <c r="W35" s="46">
        <v>0</v>
      </c>
      <c r="X35" s="46">
        <v>0</v>
      </c>
      <c r="Y35" s="46">
        <v>0.95</v>
      </c>
      <c r="Z35" s="46">
        <v>0</v>
      </c>
      <c r="AA35" s="46">
        <v>0.05</v>
      </c>
      <c r="AB35" s="46">
        <v>0</v>
      </c>
      <c r="AC35" s="46">
        <v>0.02</v>
      </c>
      <c r="AD35" s="46">
        <v>0</v>
      </c>
      <c r="AE35" s="46">
        <v>0.98</v>
      </c>
      <c r="AF35" s="59" t="s">
        <v>1576</v>
      </c>
      <c r="AG35" s="59"/>
      <c r="AH35" s="59" t="s">
        <v>1635</v>
      </c>
    </row>
    <row r="36" spans="2:34" s="59" customFormat="1" ht="14.65" customHeight="1" x14ac:dyDescent="0.25">
      <c r="B36" s="849" t="s">
        <v>1463</v>
      </c>
      <c r="C36" s="870"/>
      <c r="D36" s="873" t="s">
        <v>1193</v>
      </c>
      <c r="E36" s="875"/>
      <c r="F36" s="864" t="s">
        <v>1192</v>
      </c>
      <c r="G36" s="867"/>
      <c r="H36" s="877" t="s">
        <v>1188</v>
      </c>
      <c r="I36" s="491" t="s">
        <v>1464</v>
      </c>
      <c r="J36" s="495"/>
      <c r="K36" s="849" t="s">
        <v>1467</v>
      </c>
      <c r="L36" s="856" t="s">
        <v>1464</v>
      </c>
      <c r="M36" s="852"/>
      <c r="N36" s="853"/>
      <c r="O36" s="880"/>
      <c r="P36" s="881"/>
      <c r="Q36" s="881"/>
      <c r="R36" s="881"/>
      <c r="S36" s="881"/>
      <c r="T36" s="882"/>
      <c r="V36" s="59" t="s">
        <v>675</v>
      </c>
      <c r="W36" s="46">
        <v>0.6</v>
      </c>
      <c r="X36" s="46">
        <v>0.11800000000000001</v>
      </c>
      <c r="Y36" s="46">
        <v>0.27200000000000002</v>
      </c>
      <c r="Z36" s="46">
        <v>0.03</v>
      </c>
      <c r="AA36" s="46">
        <v>0.01</v>
      </c>
      <c r="AB36" s="46">
        <v>8.6E-3</v>
      </c>
      <c r="AC36" s="46">
        <v>4.4999999999999998E-2</v>
      </c>
      <c r="AD36" s="46">
        <v>9.6000000000000002E-2</v>
      </c>
      <c r="AE36" s="46">
        <v>0.95499999999999996</v>
      </c>
      <c r="AF36" s="59" t="s">
        <v>1576</v>
      </c>
      <c r="AH36" s="59" t="s">
        <v>1635</v>
      </c>
    </row>
    <row r="37" spans="2:34" s="59" customFormat="1" x14ac:dyDescent="0.25">
      <c r="B37" s="850"/>
      <c r="C37" s="871"/>
      <c r="D37" s="874"/>
      <c r="E37" s="876"/>
      <c r="F37" s="865"/>
      <c r="G37" s="868"/>
      <c r="H37" s="878"/>
      <c r="I37" s="489" t="s">
        <v>1465</v>
      </c>
      <c r="J37" s="496"/>
      <c r="K37" s="850"/>
      <c r="L37" s="857"/>
      <c r="M37" s="854"/>
      <c r="N37" s="855"/>
      <c r="O37" s="883"/>
      <c r="P37" s="884"/>
      <c r="Q37" s="884"/>
      <c r="R37" s="884"/>
      <c r="S37" s="884"/>
      <c r="T37" s="885"/>
      <c r="V37" s="59" t="s">
        <v>677</v>
      </c>
      <c r="W37" s="46">
        <v>0.56100000000000005</v>
      </c>
      <c r="X37" s="46">
        <v>4.8000000000000001E-2</v>
      </c>
      <c r="Y37" s="46">
        <v>0.33100000000000002</v>
      </c>
      <c r="Z37" s="46">
        <v>0.03</v>
      </c>
      <c r="AA37" s="46">
        <v>0.06</v>
      </c>
      <c r="AB37" s="46">
        <v>0.01</v>
      </c>
      <c r="AC37" s="46">
        <v>2.5000000000000001E-2</v>
      </c>
      <c r="AD37" s="46">
        <v>8.9760000000000006E-2</v>
      </c>
      <c r="AE37" s="46">
        <v>0.97499999999999998</v>
      </c>
      <c r="AF37" s="59" t="s">
        <v>1576</v>
      </c>
      <c r="AH37" s="59" t="s">
        <v>1635</v>
      </c>
    </row>
    <row r="38" spans="2:34" s="59" customFormat="1" ht="15.75" thickBot="1" x14ac:dyDescent="0.3">
      <c r="B38" s="851"/>
      <c r="C38" s="872"/>
      <c r="D38" s="874"/>
      <c r="E38" s="876"/>
      <c r="F38" s="866"/>
      <c r="G38" s="869"/>
      <c r="H38" s="879"/>
      <c r="I38" s="490" t="s">
        <v>1466</v>
      </c>
      <c r="J38" s="497"/>
      <c r="K38" s="851"/>
      <c r="L38" s="490" t="s">
        <v>1468</v>
      </c>
      <c r="M38" s="858"/>
      <c r="N38" s="859"/>
      <c r="O38" s="886"/>
      <c r="P38" s="887"/>
      <c r="Q38" s="887"/>
      <c r="R38" s="887"/>
      <c r="S38" s="887"/>
      <c r="T38" s="888"/>
      <c r="V38" s="59" t="s">
        <v>1577</v>
      </c>
      <c r="W38" s="46">
        <v>0.65500000000000003</v>
      </c>
      <c r="X38" s="46">
        <v>4.5999999999999999E-2</v>
      </c>
      <c r="Y38" s="46">
        <v>0.249</v>
      </c>
      <c r="Z38" s="46">
        <v>0.03</v>
      </c>
      <c r="AA38" s="46">
        <v>0.05</v>
      </c>
      <c r="AB38" s="46">
        <v>0.02</v>
      </c>
      <c r="AC38" s="46">
        <v>1.4999999999999999E-2</v>
      </c>
      <c r="AD38" s="46">
        <v>0.1048</v>
      </c>
      <c r="AE38" s="46">
        <v>0.98499999999999999</v>
      </c>
      <c r="AF38" s="59" t="s">
        <v>1576</v>
      </c>
      <c r="AH38" s="59" t="s">
        <v>1635</v>
      </c>
    </row>
    <row r="39" spans="2:34" s="59" customFormat="1" ht="45.75" thickBot="1" x14ac:dyDescent="0.3">
      <c r="B39" s="488"/>
      <c r="C39" s="762" t="s">
        <v>511</v>
      </c>
      <c r="D39" s="768" t="s">
        <v>512</v>
      </c>
      <c r="E39" s="769" t="s">
        <v>1479</v>
      </c>
      <c r="F39" s="492" t="s">
        <v>1571</v>
      </c>
      <c r="G39" s="492" t="s">
        <v>1636</v>
      </c>
      <c r="H39" s="769" t="s">
        <v>1573</v>
      </c>
      <c r="I39" s="769" t="s">
        <v>1574</v>
      </c>
      <c r="J39" s="769" t="s">
        <v>1090</v>
      </c>
      <c r="K39" s="769" t="s">
        <v>1575</v>
      </c>
      <c r="L39" s="769" t="s">
        <v>1041</v>
      </c>
      <c r="M39" s="770" t="s">
        <v>1046</v>
      </c>
      <c r="N39" s="766" t="s">
        <v>1063</v>
      </c>
      <c r="O39" s="492" t="s">
        <v>1067</v>
      </c>
      <c r="P39" s="492" t="s">
        <v>1066</v>
      </c>
      <c r="Q39" s="492" t="s">
        <v>519</v>
      </c>
      <c r="R39" s="492"/>
      <c r="S39" s="493" t="s">
        <v>1189</v>
      </c>
      <c r="T39" s="494" t="s">
        <v>1190</v>
      </c>
      <c r="V39" s="59" t="s">
        <v>1578</v>
      </c>
      <c r="W39" s="46">
        <v>0.55299999999999994</v>
      </c>
      <c r="X39" s="46">
        <v>0.18</v>
      </c>
      <c r="Y39" s="46">
        <v>0.20700000000000002</v>
      </c>
      <c r="Z39" s="46">
        <v>0.03</v>
      </c>
      <c r="AA39" s="46">
        <v>0.06</v>
      </c>
      <c r="AB39" s="46">
        <v>0.02</v>
      </c>
      <c r="AC39" s="46">
        <v>5.7999999999999968E-2</v>
      </c>
      <c r="AD39" s="46">
        <v>8.8479999999999989E-2</v>
      </c>
      <c r="AE39" s="46">
        <v>0.94200000000000006</v>
      </c>
      <c r="AF39" s="59" t="s">
        <v>1576</v>
      </c>
      <c r="AH39" s="59" t="s">
        <v>1635</v>
      </c>
    </row>
    <row r="40" spans="2:34" s="59" customFormat="1" x14ac:dyDescent="0.25">
      <c r="B40" s="21" t="s">
        <v>513</v>
      </c>
      <c r="C40" s="763"/>
      <c r="D40" s="771"/>
      <c r="E40" s="761" t="str">
        <f>IF(C40="","",VLOOKUP(C40,Table_ingredients[],2,FALSE))</f>
        <v/>
      </c>
      <c r="F40" s="761" t="str">
        <f>IF(C40="","",VLOOKUP(C40,Table_ingredients[],3,FALSE))</f>
        <v/>
      </c>
      <c r="G40" s="761" t="str">
        <f>IF(C40="","",VLOOKUP(C40,Table_ingredients[],4,FALSE))</f>
        <v/>
      </c>
      <c r="H40" s="761" t="str">
        <f>IF(C40="","",VLOOKUP(C40,Table_ingredients[],5,FALSE))</f>
        <v/>
      </c>
      <c r="I40" s="761" t="str">
        <f>IF(C40="","",VLOOKUP(C40,Table_ingredients[],6,FALSE))</f>
        <v/>
      </c>
      <c r="J40" s="761" t="str">
        <f>IF(C40="","",VLOOKUP(C40,Table_ingredients[],7,FALSE))</f>
        <v/>
      </c>
      <c r="K40" s="761" t="str">
        <f>IF(C40="","",VLOOKUP(C40,Table_ingredients[],8,FALSE))</f>
        <v/>
      </c>
      <c r="L40" s="474" t="str">
        <f>IF(C40="","",VLOOKUP(C40,Table_ingredients[],9,FALSE))</f>
        <v/>
      </c>
      <c r="M40" s="772" t="str">
        <f>IF(C40="","",VLOOKUP(C40,Table_ingredients[],10,FALSE))</f>
        <v/>
      </c>
      <c r="N40" s="767" t="str">
        <f>IF(C40="","",VLOOKUP(C40,Table_ingredients[],12,FALSE))</f>
        <v/>
      </c>
      <c r="O40" s="476" t="str">
        <f>IF(N40=$C$3,"Yes","No")</f>
        <v>No</v>
      </c>
      <c r="P40" s="474">
        <f t="shared" ref="P40:P55" si="5">IF(O40="Yes",D40,0)</f>
        <v>0</v>
      </c>
      <c r="Q40" s="475" t="str">
        <f>IF(C40="","",VLOOKUP(C40,Table_ingredients[],13,FALSE))</f>
        <v/>
      </c>
      <c r="R40" s="474">
        <f t="shared" ref="R40:R55" si="6">IF(Q40="Yes",D40,0)</f>
        <v>0</v>
      </c>
      <c r="S40" s="109"/>
      <c r="T40" s="120">
        <f t="shared" ref="T40:T55" si="7">S40*D40*$C$12</f>
        <v>0</v>
      </c>
      <c r="V40" s="59" t="s">
        <v>645</v>
      </c>
      <c r="W40" s="46">
        <v>0.72</v>
      </c>
      <c r="X40" s="46">
        <v>0.05</v>
      </c>
      <c r="Y40" s="46">
        <v>0.13</v>
      </c>
      <c r="Z40" s="46">
        <v>3.0000000000000001E-3</v>
      </c>
      <c r="AA40" s="46">
        <v>0.1</v>
      </c>
      <c r="AB40" s="46">
        <v>3.7000000000000002E-3</v>
      </c>
      <c r="AC40" s="46">
        <v>0.11</v>
      </c>
      <c r="AD40" s="46">
        <v>0.1152</v>
      </c>
      <c r="AE40" s="46">
        <v>0.89</v>
      </c>
      <c r="AF40" s="59" t="s">
        <v>1576</v>
      </c>
      <c r="AH40" s="59" t="s">
        <v>1635</v>
      </c>
    </row>
    <row r="41" spans="2:34" s="59" customFormat="1" x14ac:dyDescent="0.25">
      <c r="B41" s="13" t="s">
        <v>514</v>
      </c>
      <c r="C41" s="764"/>
      <c r="D41" s="773"/>
      <c r="E41" s="761" t="str">
        <f>IF(C41="","",VLOOKUP(C41,Table_ingredients[],2,FALSE))</f>
        <v/>
      </c>
      <c r="F41" s="761" t="str">
        <f>IF(C41="","",VLOOKUP(C41,Table_ingredients[],3,FALSE))</f>
        <v/>
      </c>
      <c r="G41" s="761" t="str">
        <f>IF(C41="","",VLOOKUP(C41,Table_ingredients[],4,FALSE))</f>
        <v/>
      </c>
      <c r="H41" s="761" t="str">
        <f>IF(C41="","",VLOOKUP(C41,Table_ingredients[],5,FALSE))</f>
        <v/>
      </c>
      <c r="I41" s="761" t="str">
        <f>IF(C41="","",VLOOKUP(C41,Table_ingredients[],6,FALSE))</f>
        <v/>
      </c>
      <c r="J41" s="761" t="str">
        <f>IF(C41="","",VLOOKUP(C41,Table_ingredients[],7,FALSE))</f>
        <v/>
      </c>
      <c r="K41" s="761" t="str">
        <f>IF(C41="","",VLOOKUP(C41,Table_ingredients[],8,FALSE))</f>
        <v/>
      </c>
      <c r="L41" s="474" t="str">
        <f>IF(C41="","",VLOOKUP(C41,Table_ingredients[],9,FALSE))</f>
        <v/>
      </c>
      <c r="M41" s="772" t="str">
        <f>IF(C41="","",VLOOKUP(C41,Table_ingredients[],10,FALSE))</f>
        <v/>
      </c>
      <c r="N41" s="767" t="str">
        <f>IF(C41="","",VLOOKUP(C41,Table_ingredients[],12,FALSE))</f>
        <v/>
      </c>
      <c r="O41" s="472" t="str">
        <f t="shared" ref="O41:O55" si="8">IF(N41=$C$3,"Yes","No")</f>
        <v>No</v>
      </c>
      <c r="P41" s="471">
        <f t="shared" si="5"/>
        <v>0</v>
      </c>
      <c r="Q41" s="475" t="str">
        <f>IF(C41="","",VLOOKUP(C41,Table_ingredients[],13,FALSE))</f>
        <v/>
      </c>
      <c r="R41" s="471">
        <f t="shared" si="6"/>
        <v>0</v>
      </c>
      <c r="S41" s="104"/>
      <c r="T41" s="120">
        <f t="shared" si="7"/>
        <v>0</v>
      </c>
      <c r="V41" s="59" t="s">
        <v>644</v>
      </c>
      <c r="W41" s="46">
        <v>0.82700000000000007</v>
      </c>
      <c r="X41" s="46">
        <v>1.1000000000000001E-2</v>
      </c>
      <c r="Y41" s="46">
        <v>0.11399999999999995</v>
      </c>
      <c r="Z41" s="46">
        <v>3.0000000000000001E-3</v>
      </c>
      <c r="AA41" s="46">
        <v>4.8000000000000001E-2</v>
      </c>
      <c r="AB41" s="46">
        <v>2.3E-3</v>
      </c>
      <c r="AC41" s="46">
        <v>9.7999999999999976E-2</v>
      </c>
      <c r="AD41" s="46">
        <v>0.13232000000000002</v>
      </c>
      <c r="AE41" s="46">
        <v>0.90200000000000002</v>
      </c>
      <c r="AF41" s="59" t="s">
        <v>1576</v>
      </c>
      <c r="AH41" s="59" t="s">
        <v>1635</v>
      </c>
    </row>
    <row r="42" spans="2:34" x14ac:dyDescent="0.25">
      <c r="B42" s="13" t="s">
        <v>515</v>
      </c>
      <c r="C42" s="764"/>
      <c r="D42" s="773"/>
      <c r="E42" s="761" t="str">
        <f>IF(C42="","",VLOOKUP(C42,Table_ingredients[],2,FALSE))</f>
        <v/>
      </c>
      <c r="F42" s="761" t="str">
        <f>IF(C42="","",VLOOKUP(C42,Table_ingredients[],3,FALSE))</f>
        <v/>
      </c>
      <c r="G42" s="761" t="str">
        <f>IF(C42="","",VLOOKUP(C42,Table_ingredients[],4,FALSE))</f>
        <v/>
      </c>
      <c r="H42" s="761" t="str">
        <f>IF(C42="","",VLOOKUP(C42,Table_ingredients[],5,FALSE))</f>
        <v/>
      </c>
      <c r="I42" s="761" t="str">
        <f>IF(C42="","",VLOOKUP(C42,Table_ingredients[],6,FALSE))</f>
        <v/>
      </c>
      <c r="J42" s="761" t="str">
        <f>IF(C42="","",VLOOKUP(C42,Table_ingredients[],7,FALSE))</f>
        <v/>
      </c>
      <c r="K42" s="761" t="str">
        <f>IF(C42="","",VLOOKUP(C42,Table_ingredients[],8,FALSE))</f>
        <v/>
      </c>
      <c r="L42" s="474" t="str">
        <f>IF(C42="","",VLOOKUP(C42,Table_ingredients[],9,FALSE))</f>
        <v/>
      </c>
      <c r="M42" s="772" t="str">
        <f>IF(C42="","",VLOOKUP(C42,Table_ingredients[],10,FALSE))</f>
        <v/>
      </c>
      <c r="N42" s="767" t="str">
        <f>IF(C42="","",VLOOKUP(C42,Table_ingredients[],12,FALSE))</f>
        <v/>
      </c>
      <c r="O42" s="472" t="str">
        <f t="shared" si="8"/>
        <v>No</v>
      </c>
      <c r="P42" s="471">
        <f t="shared" si="5"/>
        <v>0</v>
      </c>
      <c r="Q42" s="475" t="str">
        <f>IF(C42="","",VLOOKUP(C42,Table_ingredients[],13,FALSE))</f>
        <v/>
      </c>
      <c r="R42" s="471">
        <f t="shared" si="6"/>
        <v>0</v>
      </c>
      <c r="S42" s="104"/>
      <c r="T42" s="120">
        <f t="shared" si="7"/>
        <v>0</v>
      </c>
      <c r="V42" s="59" t="s">
        <v>648</v>
      </c>
      <c r="W42" s="46">
        <v>0.91799999999999993</v>
      </c>
      <c r="X42" s="46">
        <v>0.01</v>
      </c>
      <c r="Y42" s="46">
        <v>2.8000000000000025E-2</v>
      </c>
      <c r="Z42" s="46">
        <v>0</v>
      </c>
      <c r="AA42" s="46">
        <v>4.4000000000000004E-2</v>
      </c>
      <c r="AB42" s="46">
        <v>3.7000000000000002E-3</v>
      </c>
      <c r="AC42" s="46">
        <v>2.7999999999999973E-2</v>
      </c>
      <c r="AD42" s="46">
        <v>0.14687999999999998</v>
      </c>
      <c r="AE42" s="46">
        <v>0.97199999999999998</v>
      </c>
      <c r="AF42" s="59" t="s">
        <v>1576</v>
      </c>
      <c r="AG42" s="59"/>
      <c r="AH42" s="59" t="s">
        <v>1635</v>
      </c>
    </row>
    <row r="43" spans="2:34" x14ac:dyDescent="0.25">
      <c r="B43" s="13" t="s">
        <v>516</v>
      </c>
      <c r="C43" s="764"/>
      <c r="D43" s="773"/>
      <c r="E43" s="761" t="str">
        <f>IF(C43="","",VLOOKUP(C43,Table_ingredients[],2,FALSE))</f>
        <v/>
      </c>
      <c r="F43" s="761" t="str">
        <f>IF(C43="","",VLOOKUP(C43,Table_ingredients[],3,FALSE))</f>
        <v/>
      </c>
      <c r="G43" s="761" t="str">
        <f>IF(C43="","",VLOOKUP(C43,Table_ingredients[],4,FALSE))</f>
        <v/>
      </c>
      <c r="H43" s="761" t="str">
        <f>IF(C43="","",VLOOKUP(C43,Table_ingredients[],5,FALSE))</f>
        <v/>
      </c>
      <c r="I43" s="761" t="str">
        <f>IF(C43="","",VLOOKUP(C43,Table_ingredients[],6,FALSE))</f>
        <v/>
      </c>
      <c r="J43" s="761" t="str">
        <f>IF(C43="","",VLOOKUP(C43,Table_ingredients[],7,FALSE))</f>
        <v/>
      </c>
      <c r="K43" s="761" t="str">
        <f>IF(C43="","",VLOOKUP(C43,Table_ingredients[],8,FALSE))</f>
        <v/>
      </c>
      <c r="L43" s="474" t="str">
        <f>IF(C43="","",VLOOKUP(C43,Table_ingredients[],9,FALSE))</f>
        <v/>
      </c>
      <c r="M43" s="772" t="str">
        <f>IF(C43="","",VLOOKUP(C43,Table_ingredients[],10,FALSE))</f>
        <v/>
      </c>
      <c r="N43" s="767" t="str">
        <f>IF(C43="","",VLOOKUP(C43,Table_ingredients[],12,FALSE))</f>
        <v/>
      </c>
      <c r="O43" s="472" t="str">
        <f t="shared" si="8"/>
        <v>No</v>
      </c>
      <c r="P43" s="471">
        <f t="shared" si="5"/>
        <v>0</v>
      </c>
      <c r="Q43" s="475" t="str">
        <f>IF(C43="","",VLOOKUP(C43,Table_ingredients[],13,FALSE))</f>
        <v/>
      </c>
      <c r="R43" s="471">
        <f t="shared" si="6"/>
        <v>0</v>
      </c>
      <c r="S43" s="104"/>
      <c r="T43" s="120">
        <f t="shared" si="7"/>
        <v>0</v>
      </c>
      <c r="V43" s="59" t="s">
        <v>1675</v>
      </c>
      <c r="W43" s="46">
        <v>0.84</v>
      </c>
      <c r="X43" s="46">
        <v>1.1000000000000001E-2</v>
      </c>
      <c r="Y43" s="46">
        <v>0.10400000000000001</v>
      </c>
      <c r="Z43" s="46">
        <v>3.15E-2</v>
      </c>
      <c r="AA43" s="46">
        <v>4.4999999999999998E-2</v>
      </c>
      <c r="AB43" s="46">
        <v>2.5000000000000001E-3</v>
      </c>
      <c r="AC43" s="46">
        <v>7.0000000000000007E-2</v>
      </c>
      <c r="AD43" s="46">
        <v>0.13439999999999999</v>
      </c>
      <c r="AE43" s="46">
        <v>0.93</v>
      </c>
      <c r="AF43" s="59" t="s">
        <v>526</v>
      </c>
      <c r="AG43" s="59"/>
      <c r="AH43" s="59" t="s">
        <v>1635</v>
      </c>
    </row>
    <row r="44" spans="2:34" x14ac:dyDescent="0.25">
      <c r="B44" s="13" t="s">
        <v>517</v>
      </c>
      <c r="C44" s="764"/>
      <c r="D44" s="773"/>
      <c r="E44" s="761" t="str">
        <f>IF(C44="","",VLOOKUP(C44,Table_ingredients[],2,FALSE))</f>
        <v/>
      </c>
      <c r="F44" s="761" t="str">
        <f>IF(C44="","",VLOOKUP(C44,Table_ingredients[],3,FALSE))</f>
        <v/>
      </c>
      <c r="G44" s="761" t="str">
        <f>IF(C44="","",VLOOKUP(C44,Table_ingredients[],4,FALSE))</f>
        <v/>
      </c>
      <c r="H44" s="761" t="str">
        <f>IF(C44="","",VLOOKUP(C44,Table_ingredients[],5,FALSE))</f>
        <v/>
      </c>
      <c r="I44" s="761" t="str">
        <f>IF(C44="","",VLOOKUP(C44,Table_ingredients[],6,FALSE))</f>
        <v/>
      </c>
      <c r="J44" s="761" t="str">
        <f>IF(C44="","",VLOOKUP(C44,Table_ingredients[],7,FALSE))</f>
        <v/>
      </c>
      <c r="K44" s="761" t="str">
        <f>IF(C44="","",VLOOKUP(C44,Table_ingredients[],8,FALSE))</f>
        <v/>
      </c>
      <c r="L44" s="474" t="str">
        <f>IF(C44="","",VLOOKUP(C44,Table_ingredients[],9,FALSE))</f>
        <v/>
      </c>
      <c r="M44" s="772" t="str">
        <f>IF(C44="","",VLOOKUP(C44,Table_ingredients[],10,FALSE))</f>
        <v/>
      </c>
      <c r="N44" s="767" t="str">
        <f>IF(C44="","",VLOOKUP(C44,Table_ingredients[],12,FALSE))</f>
        <v/>
      </c>
      <c r="O44" s="472" t="str">
        <f t="shared" si="8"/>
        <v>No</v>
      </c>
      <c r="P44" s="471">
        <f t="shared" si="5"/>
        <v>0</v>
      </c>
      <c r="Q44" s="475" t="str">
        <f>IF(C44="","",VLOOKUP(C44,Table_ingredients[],13,FALSE))</f>
        <v/>
      </c>
      <c r="R44" s="471">
        <f t="shared" si="6"/>
        <v>0</v>
      </c>
      <c r="S44" s="104"/>
      <c r="T44" s="120">
        <f t="shared" si="7"/>
        <v>0</v>
      </c>
      <c r="V44" s="59" t="s">
        <v>646</v>
      </c>
      <c r="W44" s="46">
        <v>0.86</v>
      </c>
      <c r="X44" s="46">
        <v>0.01</v>
      </c>
      <c r="Y44" s="46">
        <v>9.6999999999999989E-2</v>
      </c>
      <c r="Z44" s="46">
        <v>2E-3</v>
      </c>
      <c r="AA44" s="46">
        <v>3.3000000000000002E-2</v>
      </c>
      <c r="AB44" s="46">
        <v>2.3E-3</v>
      </c>
      <c r="AC44" s="46">
        <v>8.5000000000000006E-2</v>
      </c>
      <c r="AD44" s="46">
        <v>0.1376</v>
      </c>
      <c r="AE44" s="46">
        <v>0.91500000000000004</v>
      </c>
      <c r="AF44" s="59" t="s">
        <v>1576</v>
      </c>
      <c r="AG44" s="59"/>
      <c r="AH44" s="59" t="s">
        <v>1635</v>
      </c>
    </row>
    <row r="45" spans="2:34" x14ac:dyDescent="0.25">
      <c r="B45" s="13" t="s">
        <v>518</v>
      </c>
      <c r="C45" s="764"/>
      <c r="D45" s="773"/>
      <c r="E45" s="761" t="str">
        <f>IF(C45="","",VLOOKUP(C45,Table_ingredients[],2,FALSE))</f>
        <v/>
      </c>
      <c r="F45" s="761" t="str">
        <f>IF(C45="","",VLOOKUP(C45,Table_ingredients[],3,FALSE))</f>
        <v/>
      </c>
      <c r="G45" s="761" t="str">
        <f>IF(C45="","",VLOOKUP(C45,Table_ingredients[],4,FALSE))</f>
        <v/>
      </c>
      <c r="H45" s="761" t="str">
        <f>IF(C45="","",VLOOKUP(C45,Table_ingredients[],5,FALSE))</f>
        <v/>
      </c>
      <c r="I45" s="761" t="str">
        <f>IF(C45="","",VLOOKUP(C45,Table_ingredients[],6,FALSE))</f>
        <v/>
      </c>
      <c r="J45" s="761" t="str">
        <f>IF(C45="","",VLOOKUP(C45,Table_ingredients[],7,FALSE))</f>
        <v/>
      </c>
      <c r="K45" s="761" t="str">
        <f>IF(C45="","",VLOOKUP(C45,Table_ingredients[],8,FALSE))</f>
        <v/>
      </c>
      <c r="L45" s="474" t="str">
        <f>IF(C45="","",VLOOKUP(C45,Table_ingredients[],9,FALSE))</f>
        <v/>
      </c>
      <c r="M45" s="772" t="str">
        <f>IF(C45="","",VLOOKUP(C45,Table_ingredients[],10,FALSE))</f>
        <v/>
      </c>
      <c r="N45" s="767" t="str">
        <f>IF(C45="","",VLOOKUP(C45,Table_ingredients[],12,FALSE))</f>
        <v/>
      </c>
      <c r="O45" s="472" t="str">
        <f t="shared" si="8"/>
        <v>No</v>
      </c>
      <c r="P45" s="471">
        <f t="shared" si="5"/>
        <v>0</v>
      </c>
      <c r="Q45" s="475" t="str">
        <f>IF(C45="","",VLOOKUP(C45,Table_ingredients[],13,FALSE))</f>
        <v/>
      </c>
      <c r="R45" s="471">
        <f t="shared" si="6"/>
        <v>0</v>
      </c>
      <c r="S45" s="104"/>
      <c r="T45" s="120">
        <f t="shared" si="7"/>
        <v>0</v>
      </c>
      <c r="V45" s="59" t="s">
        <v>647</v>
      </c>
      <c r="W45" s="46">
        <v>0.86299999999999999</v>
      </c>
      <c r="X45" s="46">
        <v>6.0000000000000001E-3</v>
      </c>
      <c r="Y45" s="46">
        <v>9.9000000000000019E-2</v>
      </c>
      <c r="Z45" s="46">
        <v>2E-3</v>
      </c>
      <c r="AA45" s="46">
        <v>3.2000000000000001E-2</v>
      </c>
      <c r="AB45" s="46">
        <v>1.1000000000000001E-3</v>
      </c>
      <c r="AC45" s="46">
        <v>7.0000000000000007E-2</v>
      </c>
      <c r="AD45" s="46">
        <v>0.13808000000000001</v>
      </c>
      <c r="AE45" s="46">
        <v>0.93</v>
      </c>
      <c r="AF45" s="59" t="s">
        <v>1576</v>
      </c>
      <c r="AG45" s="59"/>
      <c r="AH45" s="59" t="s">
        <v>1635</v>
      </c>
    </row>
    <row r="46" spans="2:34" x14ac:dyDescent="0.25">
      <c r="B46" s="13" t="s">
        <v>520</v>
      </c>
      <c r="C46" s="764"/>
      <c r="D46" s="773"/>
      <c r="E46" s="761" t="str">
        <f>IF(C46="","",VLOOKUP(C46,Table_ingredients[],2,FALSE))</f>
        <v/>
      </c>
      <c r="F46" s="761" t="str">
        <f>IF(C46="","",VLOOKUP(C46,Table_ingredients[],3,FALSE))</f>
        <v/>
      </c>
      <c r="G46" s="761" t="str">
        <f>IF(C46="","",VLOOKUP(C46,Table_ingredients[],4,FALSE))</f>
        <v/>
      </c>
      <c r="H46" s="761" t="str">
        <f>IF(C46="","",VLOOKUP(C46,Table_ingredients[],5,FALSE))</f>
        <v/>
      </c>
      <c r="I46" s="761" t="str">
        <f>IF(C46="","",VLOOKUP(C46,Table_ingredients[],6,FALSE))</f>
        <v/>
      </c>
      <c r="J46" s="761" t="str">
        <f>IF(C46="","",VLOOKUP(C46,Table_ingredients[],7,FALSE))</f>
        <v/>
      </c>
      <c r="K46" s="761" t="str">
        <f>IF(C46="","",VLOOKUP(C46,Table_ingredients[],8,FALSE))</f>
        <v/>
      </c>
      <c r="L46" s="474" t="str">
        <f>IF(C46="","",VLOOKUP(C46,Table_ingredients[],9,FALSE))</f>
        <v/>
      </c>
      <c r="M46" s="772" t="str">
        <f>IF(C46="","",VLOOKUP(C46,Table_ingredients[],10,FALSE))</f>
        <v/>
      </c>
      <c r="N46" s="767" t="str">
        <f>IF(C46="","",VLOOKUP(C46,Table_ingredients[],12,FALSE))</f>
        <v/>
      </c>
      <c r="O46" s="472" t="str">
        <f t="shared" si="8"/>
        <v>No</v>
      </c>
      <c r="P46" s="471">
        <f t="shared" si="5"/>
        <v>0</v>
      </c>
      <c r="Q46" s="475" t="str">
        <f>IF(C46="","",VLOOKUP(C46,Table_ingredients[],13,FALSE))</f>
        <v/>
      </c>
      <c r="R46" s="471">
        <f t="shared" si="6"/>
        <v>0</v>
      </c>
      <c r="S46" s="104"/>
      <c r="T46" s="120">
        <f t="shared" si="7"/>
        <v>0</v>
      </c>
      <c r="V46" s="59" t="s">
        <v>1676</v>
      </c>
      <c r="W46" s="46">
        <v>0.307</v>
      </c>
      <c r="X46" s="46">
        <v>5.2999999999999999E-2</v>
      </c>
      <c r="Y46" s="46">
        <v>0.60599999999999998</v>
      </c>
      <c r="Z46" s="46">
        <v>0.44930000000000009</v>
      </c>
      <c r="AA46" s="46">
        <v>3.4000000000000002E-2</v>
      </c>
      <c r="AB46" s="46">
        <v>3.7000000000000002E-3</v>
      </c>
      <c r="AC46" s="46">
        <v>9.7999999999999976E-2</v>
      </c>
      <c r="AD46" s="46">
        <v>4.9119999999999997E-2</v>
      </c>
      <c r="AE46" s="46">
        <v>0.90200000000000002</v>
      </c>
      <c r="AF46" s="59" t="s">
        <v>526</v>
      </c>
      <c r="AG46" s="59"/>
      <c r="AH46" s="59" t="s">
        <v>1635</v>
      </c>
    </row>
    <row r="47" spans="2:34" x14ac:dyDescent="0.25">
      <c r="B47" s="13" t="s">
        <v>521</v>
      </c>
      <c r="C47" s="764"/>
      <c r="D47" s="774"/>
      <c r="E47" s="761" t="str">
        <f>IF(C47="","",VLOOKUP(C47,Table_ingredients[],2,FALSE))</f>
        <v/>
      </c>
      <c r="F47" s="761" t="str">
        <f>IF(C47="","",VLOOKUP(C47,Table_ingredients[],3,FALSE))</f>
        <v/>
      </c>
      <c r="G47" s="761" t="str">
        <f>IF(C47="","",VLOOKUP(C47,Table_ingredients[],4,FALSE))</f>
        <v/>
      </c>
      <c r="H47" s="761" t="str">
        <f>IF(C47="","",VLOOKUP(C47,Table_ingredients[],5,FALSE))</f>
        <v/>
      </c>
      <c r="I47" s="761" t="str">
        <f>IF(C47="","",VLOOKUP(C47,Table_ingredients[],6,FALSE))</f>
        <v/>
      </c>
      <c r="J47" s="761" t="str">
        <f>IF(C47="","",VLOOKUP(C47,Table_ingredients[],7,FALSE))</f>
        <v/>
      </c>
      <c r="K47" s="761" t="str">
        <f>IF(C47="","",VLOOKUP(C47,Table_ingredients[],8,FALSE))</f>
        <v/>
      </c>
      <c r="L47" s="474" t="str">
        <f>IF(C47="","",VLOOKUP(C47,Table_ingredients[],9,FALSE))</f>
        <v/>
      </c>
      <c r="M47" s="772" t="str">
        <f>IF(C47="","",VLOOKUP(C47,Table_ingredients[],10,FALSE))</f>
        <v/>
      </c>
      <c r="N47" s="767" t="str">
        <f>IF(C47="","",VLOOKUP(C47,Table_ingredients[],12,FALSE))</f>
        <v/>
      </c>
      <c r="O47" s="472" t="str">
        <f t="shared" si="8"/>
        <v>No</v>
      </c>
      <c r="P47" s="471">
        <f t="shared" si="5"/>
        <v>0</v>
      </c>
      <c r="Q47" s="475" t="str">
        <f>IF(C47="","",VLOOKUP(C47,Table_ingredients[],13,FALSE))</f>
        <v/>
      </c>
      <c r="R47" s="471">
        <f t="shared" si="6"/>
        <v>0</v>
      </c>
      <c r="S47" s="104"/>
      <c r="T47" s="120">
        <f t="shared" si="7"/>
        <v>0</v>
      </c>
      <c r="V47" s="59" t="s">
        <v>991</v>
      </c>
      <c r="W47" s="46">
        <v>0.1</v>
      </c>
      <c r="X47" s="46">
        <v>0.1</v>
      </c>
      <c r="Y47" s="46">
        <v>0.3</v>
      </c>
      <c r="Z47" s="46">
        <v>0</v>
      </c>
      <c r="AA47" s="46">
        <v>0.5</v>
      </c>
      <c r="AB47" s="46">
        <v>0.05</v>
      </c>
      <c r="AC47" s="46">
        <v>0.05</v>
      </c>
      <c r="AD47" s="46">
        <v>1.6E-2</v>
      </c>
      <c r="AE47" s="46">
        <v>0.95</v>
      </c>
      <c r="AF47" s="59" t="s">
        <v>1576</v>
      </c>
      <c r="AG47" s="59"/>
      <c r="AH47" s="59" t="s">
        <v>1635</v>
      </c>
    </row>
    <row r="48" spans="2:34" x14ac:dyDescent="0.25">
      <c r="B48" s="13" t="s">
        <v>522</v>
      </c>
      <c r="C48" s="764"/>
      <c r="D48" s="774"/>
      <c r="E48" s="761" t="str">
        <f>IF(C48="","",VLOOKUP(C48,Table_ingredients[],2,FALSE))</f>
        <v/>
      </c>
      <c r="F48" s="761" t="str">
        <f>IF(C48="","",VLOOKUP(C48,Table_ingredients[],3,FALSE))</f>
        <v/>
      </c>
      <c r="G48" s="761" t="str">
        <f>IF(C48="","",VLOOKUP(C48,Table_ingredients[],4,FALSE))</f>
        <v/>
      </c>
      <c r="H48" s="761" t="str">
        <f>IF(C48="","",VLOOKUP(C48,Table_ingredients[],5,FALSE))</f>
        <v/>
      </c>
      <c r="I48" s="761" t="str">
        <f>IF(C48="","",VLOOKUP(C48,Table_ingredients[],6,FALSE))</f>
        <v/>
      </c>
      <c r="J48" s="761" t="str">
        <f>IF(C48="","",VLOOKUP(C48,Table_ingredients[],7,FALSE))</f>
        <v/>
      </c>
      <c r="K48" s="761" t="str">
        <f>IF(C48="","",VLOOKUP(C48,Table_ingredients[],8,FALSE))</f>
        <v/>
      </c>
      <c r="L48" s="474" t="str">
        <f>IF(C48="","",VLOOKUP(C48,Table_ingredients[],9,FALSE))</f>
        <v/>
      </c>
      <c r="M48" s="772" t="str">
        <f>IF(C48="","",VLOOKUP(C48,Table_ingredients[],10,FALSE))</f>
        <v/>
      </c>
      <c r="N48" s="767" t="str">
        <f>IF(C48="","",VLOOKUP(C48,Table_ingredients[],12,FALSE))</f>
        <v/>
      </c>
      <c r="O48" s="472" t="str">
        <f t="shared" si="8"/>
        <v>No</v>
      </c>
      <c r="P48" s="471">
        <f t="shared" si="5"/>
        <v>0</v>
      </c>
      <c r="Q48" s="475" t="str">
        <f>IF(C48="","",VLOOKUP(C48,Table_ingredients[],13,FALSE))</f>
        <v/>
      </c>
      <c r="R48" s="471">
        <f t="shared" si="6"/>
        <v>0</v>
      </c>
      <c r="S48" s="104"/>
      <c r="T48" s="120">
        <f t="shared" si="7"/>
        <v>0</v>
      </c>
      <c r="V48" s="59" t="s">
        <v>686</v>
      </c>
      <c r="W48" s="46">
        <v>0.26100000000000001</v>
      </c>
      <c r="X48" s="46">
        <v>6.9000000000000006E-2</v>
      </c>
      <c r="Y48" s="46">
        <v>0.629</v>
      </c>
      <c r="Z48" s="46">
        <v>0.158</v>
      </c>
      <c r="AA48" s="46">
        <v>4.0999999999999995E-2</v>
      </c>
      <c r="AB48" s="46">
        <v>6.5000000000000006E-3</v>
      </c>
      <c r="AC48" s="46">
        <v>8.2999999999999977E-2</v>
      </c>
      <c r="AD48" s="46">
        <v>4.1759999999999999E-2</v>
      </c>
      <c r="AE48" s="46">
        <v>0.91700000000000004</v>
      </c>
      <c r="AF48" s="59" t="s">
        <v>1576</v>
      </c>
      <c r="AG48" s="59"/>
      <c r="AH48" s="59" t="s">
        <v>1635</v>
      </c>
    </row>
    <row r="49" spans="2:34" x14ac:dyDescent="0.25">
      <c r="B49" s="13" t="s">
        <v>523</v>
      </c>
      <c r="C49" s="764"/>
      <c r="D49" s="774"/>
      <c r="E49" s="761" t="str">
        <f>IF(C49="","",VLOOKUP(C49,Table_ingredients[],2,FALSE))</f>
        <v/>
      </c>
      <c r="F49" s="761" t="str">
        <f>IF(C49="","",VLOOKUP(C49,Table_ingredients[],3,FALSE))</f>
        <v/>
      </c>
      <c r="G49" s="761" t="str">
        <f>IF(C49="","",VLOOKUP(C49,Table_ingredients[],4,FALSE))</f>
        <v/>
      </c>
      <c r="H49" s="761" t="str">
        <f>IF(C49="","",VLOOKUP(C49,Table_ingredients[],5,FALSE))</f>
        <v/>
      </c>
      <c r="I49" s="761" t="str">
        <f>IF(C49="","",VLOOKUP(C49,Table_ingredients[],6,FALSE))</f>
        <v/>
      </c>
      <c r="J49" s="761" t="str">
        <f>IF(C49="","",VLOOKUP(C49,Table_ingredients[],7,FALSE))</f>
        <v/>
      </c>
      <c r="K49" s="761" t="str">
        <f>IF(C49="","",VLOOKUP(C49,Table_ingredients[],8,FALSE))</f>
        <v/>
      </c>
      <c r="L49" s="474" t="str">
        <f>IF(C49="","",VLOOKUP(C49,Table_ingredients[],9,FALSE))</f>
        <v/>
      </c>
      <c r="M49" s="772" t="str">
        <f>IF(C49="","",VLOOKUP(C49,Table_ingredients[],10,FALSE))</f>
        <v/>
      </c>
      <c r="N49" s="767" t="str">
        <f>IF(C49="","",VLOOKUP(C49,Table_ingredients[],12,FALSE))</f>
        <v/>
      </c>
      <c r="O49" s="472" t="str">
        <f t="shared" si="8"/>
        <v>No</v>
      </c>
      <c r="P49" s="471">
        <f t="shared" si="5"/>
        <v>0</v>
      </c>
      <c r="Q49" s="475" t="str">
        <f>IF(C49="","",VLOOKUP(C49,Table_ingredients[],13,FALSE))</f>
        <v/>
      </c>
      <c r="R49" s="471">
        <f t="shared" si="6"/>
        <v>0</v>
      </c>
      <c r="S49" s="104"/>
      <c r="T49" s="120">
        <f t="shared" si="7"/>
        <v>0</v>
      </c>
      <c r="V49" s="59" t="s">
        <v>1677</v>
      </c>
      <c r="W49" s="46">
        <v>0.48399999999999999</v>
      </c>
      <c r="X49" s="46">
        <v>1.8000000000000002E-2</v>
      </c>
      <c r="Y49" s="46">
        <v>0.42500000000000004</v>
      </c>
      <c r="Z49" s="46">
        <v>0.29200000000000015</v>
      </c>
      <c r="AA49" s="46">
        <v>7.2999999999999995E-2</v>
      </c>
      <c r="AB49" s="46">
        <v>1.3999999999999999E-2</v>
      </c>
      <c r="AC49" s="46">
        <v>7.0000000000000007E-2</v>
      </c>
      <c r="AD49" s="46">
        <v>7.7439999999999995E-2</v>
      </c>
      <c r="AE49" s="46">
        <v>0.93</v>
      </c>
      <c r="AF49" s="59" t="s">
        <v>526</v>
      </c>
      <c r="AG49" s="59"/>
      <c r="AH49" s="59" t="s">
        <v>1635</v>
      </c>
    </row>
    <row r="50" spans="2:34" x14ac:dyDescent="0.25">
      <c r="B50" s="13" t="s">
        <v>1057</v>
      </c>
      <c r="C50" s="764"/>
      <c r="D50" s="774"/>
      <c r="E50" s="761" t="str">
        <f>IF(C50="","",VLOOKUP(C50,Table_ingredients[],2,FALSE))</f>
        <v/>
      </c>
      <c r="F50" s="761" t="str">
        <f>IF(C50="","",VLOOKUP(C50,Table_ingredients[],3,FALSE))</f>
        <v/>
      </c>
      <c r="G50" s="761" t="str">
        <f>IF(C50="","",VLOOKUP(C50,Table_ingredients[],4,FALSE))</f>
        <v/>
      </c>
      <c r="H50" s="761" t="str">
        <f>IF(C50="","",VLOOKUP(C50,Table_ingredients[],5,FALSE))</f>
        <v/>
      </c>
      <c r="I50" s="761" t="str">
        <f>IF(C50="","",VLOOKUP(C50,Table_ingredients[],6,FALSE))</f>
        <v/>
      </c>
      <c r="J50" s="761" t="str">
        <f>IF(C50="","",VLOOKUP(C50,Table_ingredients[],7,FALSE))</f>
        <v/>
      </c>
      <c r="K50" s="761" t="str">
        <f>IF(C50="","",VLOOKUP(C50,Table_ingredients[],8,FALSE))</f>
        <v/>
      </c>
      <c r="L50" s="474" t="str">
        <f>IF(C50="","",VLOOKUP(C50,Table_ingredients[],9,FALSE))</f>
        <v/>
      </c>
      <c r="M50" s="772" t="str">
        <f>IF(C50="","",VLOOKUP(C50,Table_ingredients[],10,FALSE))</f>
        <v/>
      </c>
      <c r="N50" s="767" t="str">
        <f>IF(C50="","",VLOOKUP(C50,Table_ingredients[],12,FALSE))</f>
        <v/>
      </c>
      <c r="O50" s="472" t="str">
        <f t="shared" si="8"/>
        <v>No</v>
      </c>
      <c r="P50" s="471">
        <f t="shared" si="5"/>
        <v>0</v>
      </c>
      <c r="Q50" s="475" t="str">
        <f>IF(C50="","",VLOOKUP(C50,Table_ingredients[],13,FALSE))</f>
        <v/>
      </c>
      <c r="R50" s="471">
        <f t="shared" si="6"/>
        <v>0</v>
      </c>
      <c r="S50" s="104"/>
      <c r="T50" s="120">
        <f t="shared" si="7"/>
        <v>0</v>
      </c>
      <c r="V50" s="59" t="s">
        <v>1678</v>
      </c>
      <c r="W50" s="46">
        <v>0.46500000000000002</v>
      </c>
      <c r="X50" s="46">
        <v>3.9E-2</v>
      </c>
      <c r="Y50" s="46">
        <v>0.42499999999999999</v>
      </c>
      <c r="Z50" s="46">
        <v>0.33640000000000003</v>
      </c>
      <c r="AA50" s="46">
        <v>7.0999999999999994E-2</v>
      </c>
      <c r="AB50" s="46">
        <v>1.1599999999999999E-2</v>
      </c>
      <c r="AC50" s="46">
        <v>6.7000000000000032E-2</v>
      </c>
      <c r="AD50" s="46">
        <v>7.4400000000000008E-2</v>
      </c>
      <c r="AE50" s="46">
        <v>0.93299999999999994</v>
      </c>
      <c r="AF50" s="59" t="s">
        <v>526</v>
      </c>
      <c r="AG50" s="59"/>
      <c r="AH50" s="59" t="s">
        <v>1635</v>
      </c>
    </row>
    <row r="51" spans="2:34" x14ac:dyDescent="0.25">
      <c r="B51" s="13" t="s">
        <v>1058</v>
      </c>
      <c r="C51" s="764"/>
      <c r="D51" s="774"/>
      <c r="E51" s="761" t="str">
        <f>IF(C51="","",VLOOKUP(C51,Table_ingredients[],2,FALSE))</f>
        <v/>
      </c>
      <c r="F51" s="761" t="str">
        <f>IF(C51="","",VLOOKUP(C51,Table_ingredients[],3,FALSE))</f>
        <v/>
      </c>
      <c r="G51" s="761" t="str">
        <f>IF(C51="","",VLOOKUP(C51,Table_ingredients[],4,FALSE))</f>
        <v/>
      </c>
      <c r="H51" s="761" t="str">
        <f>IF(C51="","",VLOOKUP(C51,Table_ingredients[],5,FALSE))</f>
        <v/>
      </c>
      <c r="I51" s="761" t="str">
        <f>IF(C51="","",VLOOKUP(C51,Table_ingredients[],6,FALSE))</f>
        <v/>
      </c>
      <c r="J51" s="761" t="str">
        <f>IF(C51="","",VLOOKUP(C51,Table_ingredients[],7,FALSE))</f>
        <v/>
      </c>
      <c r="K51" s="761" t="str">
        <f>IF(C51="","",VLOOKUP(C51,Table_ingredients[],8,FALSE))</f>
        <v/>
      </c>
      <c r="L51" s="474" t="str">
        <f>IF(C51="","",VLOOKUP(C51,Table_ingredients[],9,FALSE))</f>
        <v/>
      </c>
      <c r="M51" s="772" t="str">
        <f>IF(C51="","",VLOOKUP(C51,Table_ingredients[],10,FALSE))</f>
        <v/>
      </c>
      <c r="N51" s="767" t="str">
        <f>IF(C51="","",VLOOKUP(C51,Table_ingredients[],12,FALSE))</f>
        <v/>
      </c>
      <c r="O51" s="472" t="str">
        <f t="shared" si="8"/>
        <v>No</v>
      </c>
      <c r="P51" s="471">
        <f t="shared" si="5"/>
        <v>0</v>
      </c>
      <c r="Q51" s="475" t="str">
        <f>IF(C51="","",VLOOKUP(C51,Table_ingredients[],13,FALSE))</f>
        <v/>
      </c>
      <c r="R51" s="471">
        <f t="shared" si="6"/>
        <v>0</v>
      </c>
      <c r="S51" s="104"/>
      <c r="T51" s="120">
        <f t="shared" si="7"/>
        <v>0</v>
      </c>
      <c r="V51" s="59" t="s">
        <v>878</v>
      </c>
      <c r="W51" s="46">
        <v>0.11</v>
      </c>
      <c r="X51" s="46">
        <v>2.5000000000000001E-2</v>
      </c>
      <c r="Y51" s="46">
        <v>0.84400000000000008</v>
      </c>
      <c r="Z51" s="46">
        <v>0.11</v>
      </c>
      <c r="AA51" s="46">
        <v>2.1000000000000001E-2</v>
      </c>
      <c r="AB51" s="46">
        <v>9.0000000000000011E-3</v>
      </c>
      <c r="AC51" s="46">
        <v>0.12</v>
      </c>
      <c r="AD51" s="46">
        <v>1.7600000000000001E-2</v>
      </c>
      <c r="AE51" s="46">
        <v>0.88</v>
      </c>
      <c r="AF51" s="59" t="s">
        <v>1576</v>
      </c>
      <c r="AG51" s="59"/>
      <c r="AH51" s="59" t="s">
        <v>1635</v>
      </c>
    </row>
    <row r="52" spans="2:34" x14ac:dyDescent="0.25">
      <c r="B52" s="13" t="s">
        <v>1059</v>
      </c>
      <c r="C52" s="764"/>
      <c r="D52" s="774"/>
      <c r="E52" s="761" t="str">
        <f>IF(C52="","",VLOOKUP(C52,Table_ingredients[],2,FALSE))</f>
        <v/>
      </c>
      <c r="F52" s="761" t="str">
        <f>IF(C52="","",VLOOKUP(C52,Table_ingredients[],3,FALSE))</f>
        <v/>
      </c>
      <c r="G52" s="761" t="str">
        <f>IF(C52="","",VLOOKUP(C52,Table_ingredients[],4,FALSE))</f>
        <v/>
      </c>
      <c r="H52" s="761" t="str">
        <f>IF(C52="","",VLOOKUP(C52,Table_ingredients[],5,FALSE))</f>
        <v/>
      </c>
      <c r="I52" s="761" t="str">
        <f>IF(C52="","",VLOOKUP(C52,Table_ingredients[],6,FALSE))</f>
        <v/>
      </c>
      <c r="J52" s="761" t="str">
        <f>IF(C52="","",VLOOKUP(C52,Table_ingredients[],7,FALSE))</f>
        <v/>
      </c>
      <c r="K52" s="761" t="str">
        <f>IF(C52="","",VLOOKUP(C52,Table_ingredients[],8,FALSE))</f>
        <v/>
      </c>
      <c r="L52" s="474" t="str">
        <f>IF(C52="","",VLOOKUP(C52,Table_ingredients[],9,FALSE))</f>
        <v/>
      </c>
      <c r="M52" s="772" t="str">
        <f>IF(C52="","",VLOOKUP(C52,Table_ingredients[],10,FALSE))</f>
        <v/>
      </c>
      <c r="N52" s="767" t="str">
        <f>IF(C52="","",VLOOKUP(C52,Table_ingredients[],12,FALSE))</f>
        <v/>
      </c>
      <c r="O52" s="472" t="str">
        <f t="shared" si="8"/>
        <v>No</v>
      </c>
      <c r="P52" s="471">
        <f t="shared" si="5"/>
        <v>0</v>
      </c>
      <c r="Q52" s="475" t="str">
        <f>IF(C52="","",VLOOKUP(C52,Table_ingredients[],13,FALSE))</f>
        <v/>
      </c>
      <c r="R52" s="471">
        <f t="shared" si="6"/>
        <v>0</v>
      </c>
      <c r="S52" s="104"/>
      <c r="T52" s="120">
        <f t="shared" si="7"/>
        <v>0</v>
      </c>
      <c r="V52" s="59" t="s">
        <v>1679</v>
      </c>
      <c r="W52" s="46">
        <v>0</v>
      </c>
      <c r="X52" s="46">
        <v>0</v>
      </c>
      <c r="Y52" s="46">
        <v>0.23</v>
      </c>
      <c r="Z52" s="46">
        <v>0</v>
      </c>
      <c r="AA52" s="46">
        <v>0.77</v>
      </c>
      <c r="AB52" s="46">
        <v>0.23</v>
      </c>
      <c r="AC52" s="46">
        <v>0</v>
      </c>
      <c r="AD52" s="46">
        <v>0</v>
      </c>
      <c r="AE52" s="46">
        <v>1</v>
      </c>
      <c r="AF52" s="59" t="s">
        <v>526</v>
      </c>
      <c r="AG52" s="59"/>
      <c r="AH52" s="59" t="s">
        <v>1635</v>
      </c>
    </row>
    <row r="53" spans="2:34" x14ac:dyDescent="0.25">
      <c r="B53" s="13" t="s">
        <v>1060</v>
      </c>
      <c r="C53" s="764"/>
      <c r="D53" s="774"/>
      <c r="E53" s="761" t="str">
        <f>IF(C53="","",VLOOKUP(C53,Table_ingredients[],2,FALSE))</f>
        <v/>
      </c>
      <c r="F53" s="761" t="str">
        <f>IF(C53="","",VLOOKUP(C53,Table_ingredients[],3,FALSE))</f>
        <v/>
      </c>
      <c r="G53" s="761" t="str">
        <f>IF(C53="","",VLOOKUP(C53,Table_ingredients[],4,FALSE))</f>
        <v/>
      </c>
      <c r="H53" s="761" t="str">
        <f>IF(C53="","",VLOOKUP(C53,Table_ingredients[],5,FALSE))</f>
        <v/>
      </c>
      <c r="I53" s="761" t="str">
        <f>IF(C53="","",VLOOKUP(C53,Table_ingredients[],6,FALSE))</f>
        <v/>
      </c>
      <c r="J53" s="761" t="str">
        <f>IF(C53="","",VLOOKUP(C53,Table_ingredients[],7,FALSE))</f>
        <v/>
      </c>
      <c r="K53" s="761" t="str">
        <f>IF(C53="","",VLOOKUP(C53,Table_ingredients[],8,FALSE))</f>
        <v/>
      </c>
      <c r="L53" s="474" t="str">
        <f>IF(C53="","",VLOOKUP(C53,Table_ingredients[],9,FALSE))</f>
        <v/>
      </c>
      <c r="M53" s="772" t="str">
        <f>IF(C53="","",VLOOKUP(C53,Table_ingredients[],10,FALSE))</f>
        <v/>
      </c>
      <c r="N53" s="767" t="str">
        <f>IF(C53="","",VLOOKUP(C53,Table_ingredients[],12,FALSE))</f>
        <v/>
      </c>
      <c r="O53" s="472" t="str">
        <f t="shared" si="8"/>
        <v>No</v>
      </c>
      <c r="P53" s="471">
        <f t="shared" si="5"/>
        <v>0</v>
      </c>
      <c r="Q53" s="475" t="str">
        <f>IF(C53="","",VLOOKUP(C53,Table_ingredients[],13,FALSE))</f>
        <v/>
      </c>
      <c r="R53" s="471">
        <f t="shared" si="6"/>
        <v>0</v>
      </c>
      <c r="S53" s="104"/>
      <c r="T53" s="120">
        <f t="shared" si="7"/>
        <v>0</v>
      </c>
      <c r="V53" s="59" t="s">
        <v>990</v>
      </c>
      <c r="W53" s="46">
        <v>0</v>
      </c>
      <c r="X53" s="46">
        <v>0</v>
      </c>
      <c r="Y53" s="46">
        <v>0.02</v>
      </c>
      <c r="Z53" s="46">
        <v>0</v>
      </c>
      <c r="AA53" s="46">
        <v>0.98</v>
      </c>
      <c r="AB53" s="46">
        <v>0</v>
      </c>
      <c r="AC53" s="46">
        <v>0.02</v>
      </c>
      <c r="AD53" s="46">
        <v>0</v>
      </c>
      <c r="AE53" s="46">
        <v>0.98</v>
      </c>
      <c r="AF53" s="59" t="s">
        <v>1576</v>
      </c>
      <c r="AG53" s="59"/>
      <c r="AH53" s="59" t="s">
        <v>1635</v>
      </c>
    </row>
    <row r="54" spans="2:34" s="59" customFormat="1" x14ac:dyDescent="0.25">
      <c r="B54" s="13" t="s">
        <v>1061</v>
      </c>
      <c r="C54" s="764"/>
      <c r="D54" s="774"/>
      <c r="E54" s="761" t="str">
        <f>IF(C54="","",VLOOKUP(C54,Table_ingredients[],2,FALSE))</f>
        <v/>
      </c>
      <c r="F54" s="761" t="str">
        <f>IF(C54="","",VLOOKUP(C54,Table_ingredients[],3,FALSE))</f>
        <v/>
      </c>
      <c r="G54" s="761" t="str">
        <f>IF(C54="","",VLOOKUP(C54,Table_ingredients[],4,FALSE))</f>
        <v/>
      </c>
      <c r="H54" s="761" t="str">
        <f>IF(C54="","",VLOOKUP(C54,Table_ingredients[],5,FALSE))</f>
        <v/>
      </c>
      <c r="I54" s="761" t="str">
        <f>IF(C54="","",VLOOKUP(C54,Table_ingredients[],6,FALSE))</f>
        <v/>
      </c>
      <c r="J54" s="761" t="str">
        <f>IF(C54="","",VLOOKUP(C54,Table_ingredients[],7,FALSE))</f>
        <v/>
      </c>
      <c r="K54" s="761" t="str">
        <f>IF(C54="","",VLOOKUP(C54,Table_ingredients[],8,FALSE))</f>
        <v/>
      </c>
      <c r="L54" s="474" t="str">
        <f>IF(C54="","",VLOOKUP(C54,Table_ingredients[],9,FALSE))</f>
        <v/>
      </c>
      <c r="M54" s="772" t="str">
        <f>IF(C54="","",VLOOKUP(C54,Table_ingredients[],10,FALSE))</f>
        <v/>
      </c>
      <c r="N54" s="767" t="str">
        <f>IF(C54="","",VLOOKUP(C54,Table_ingredients[],12,FALSE))</f>
        <v/>
      </c>
      <c r="O54" s="472" t="str">
        <f t="shared" si="8"/>
        <v>No</v>
      </c>
      <c r="P54" s="471">
        <f t="shared" si="5"/>
        <v>0</v>
      </c>
      <c r="Q54" s="475" t="str">
        <f>IF(C54="","",VLOOKUP(C54,Table_ingredients[],13,FALSE))</f>
        <v/>
      </c>
      <c r="R54" s="471">
        <f t="shared" si="6"/>
        <v>0</v>
      </c>
      <c r="S54" s="104"/>
      <c r="T54" s="120">
        <f t="shared" si="7"/>
        <v>0</v>
      </c>
      <c r="V54" s="59" t="s">
        <v>1579</v>
      </c>
      <c r="W54" s="46">
        <v>0</v>
      </c>
      <c r="X54" s="46">
        <v>0</v>
      </c>
      <c r="Y54" s="46">
        <v>9.9999999999994321E-4</v>
      </c>
      <c r="Z54" s="46">
        <v>0</v>
      </c>
      <c r="AA54" s="46">
        <v>0.99900000000000011</v>
      </c>
      <c r="AB54" s="46">
        <v>0</v>
      </c>
      <c r="AC54" s="46">
        <v>9.9999999999994321E-4</v>
      </c>
      <c r="AD54" s="46">
        <v>0</v>
      </c>
      <c r="AE54" s="46">
        <v>0.99900000000000011</v>
      </c>
      <c r="AF54" s="59" t="s">
        <v>1576</v>
      </c>
      <c r="AH54" s="59" t="s">
        <v>1635</v>
      </c>
    </row>
    <row r="55" spans="2:34" s="59" customFormat="1" ht="15.75" thickBot="1" x14ac:dyDescent="0.3">
      <c r="B55" s="16" t="s">
        <v>1062</v>
      </c>
      <c r="C55" s="765"/>
      <c r="D55" s="775"/>
      <c r="E55" s="776" t="str">
        <f>IF(C55="","",VLOOKUP(C55,Table_ingredients[],2,FALSE))</f>
        <v/>
      </c>
      <c r="F55" s="776" t="str">
        <f>IF(C55="","",VLOOKUP(C55,Table_ingredients[],3,FALSE))</f>
        <v/>
      </c>
      <c r="G55" s="776" t="str">
        <f>IF(C55="","",VLOOKUP(C55,Table_ingredients[],4,FALSE))</f>
        <v/>
      </c>
      <c r="H55" s="776" t="str">
        <f>IF(C55="","",VLOOKUP(C55,Table_ingredients[],5,FALSE))</f>
        <v/>
      </c>
      <c r="I55" s="776" t="str">
        <f>IF(C55="","",VLOOKUP(C55,Table_ingredients[],6,FALSE))</f>
        <v/>
      </c>
      <c r="J55" s="776" t="str">
        <f>IF(C55="","",VLOOKUP(C55,Table_ingredients[],7,FALSE))</f>
        <v/>
      </c>
      <c r="K55" s="776" t="str">
        <f>IF(C55="","",VLOOKUP(C55,Table_ingredients[],8,FALSE))</f>
        <v/>
      </c>
      <c r="L55" s="777" t="str">
        <f>IF(C55="","",VLOOKUP(C55,Table_ingredients[],9,FALSE))</f>
        <v/>
      </c>
      <c r="M55" s="778" t="str">
        <f>IF(C55="","",VLOOKUP(C55,Table_ingredients[],10,FALSE))</f>
        <v/>
      </c>
      <c r="N55" s="767" t="str">
        <f>IF(C55="","",VLOOKUP(C55,Table_ingredients[],12,FALSE))</f>
        <v/>
      </c>
      <c r="O55" s="479" t="str">
        <f t="shared" si="8"/>
        <v>No</v>
      </c>
      <c r="P55" s="478">
        <f t="shared" si="5"/>
        <v>0</v>
      </c>
      <c r="Q55" s="475" t="str">
        <f>IF(C55="","",VLOOKUP(C55,Table_ingredients[],13,FALSE))</f>
        <v/>
      </c>
      <c r="R55" s="478">
        <f t="shared" si="6"/>
        <v>0</v>
      </c>
      <c r="S55" s="477"/>
      <c r="T55" s="120">
        <f t="shared" si="7"/>
        <v>0</v>
      </c>
      <c r="V55" s="59" t="s">
        <v>687</v>
      </c>
      <c r="W55" s="46">
        <v>0.33899999999999997</v>
      </c>
      <c r="X55" s="46">
        <v>0.12</v>
      </c>
      <c r="Y55" s="46">
        <v>0.48299999999999998</v>
      </c>
      <c r="Z55" s="46">
        <v>0.124</v>
      </c>
      <c r="AA55" s="46">
        <v>5.7999999999999996E-2</v>
      </c>
      <c r="AB55" s="46">
        <v>0.01</v>
      </c>
      <c r="AC55" s="46">
        <v>0.09</v>
      </c>
      <c r="AD55" s="46">
        <v>5.4239999999999997E-2</v>
      </c>
      <c r="AE55" s="46">
        <v>0.91</v>
      </c>
      <c r="AF55" s="59" t="s">
        <v>1576</v>
      </c>
      <c r="AH55" s="59" t="s">
        <v>1635</v>
      </c>
    </row>
    <row r="56" spans="2:34" s="59" customFormat="1" ht="15.75" thickBot="1" x14ac:dyDescent="0.3">
      <c r="B56" s="26"/>
      <c r="C56" s="483" t="s">
        <v>1123</v>
      </c>
      <c r="D56" s="484">
        <f>SUM(D40:D55)</f>
        <v>0</v>
      </c>
      <c r="E56" s="759">
        <f>SUMPRODUCT($D$16:$D$31,E40:E55)</f>
        <v>0</v>
      </c>
      <c r="F56" s="759">
        <f t="shared" ref="F56" si="9">SUMPRODUCT($D$16:$D$31,F40:F55)</f>
        <v>0</v>
      </c>
      <c r="G56" s="759">
        <f t="shared" ref="G56" si="10">SUMPRODUCT($D$16:$D$31,G40:G55)</f>
        <v>0</v>
      </c>
      <c r="H56" s="759">
        <f t="shared" ref="H56" si="11">SUMPRODUCT($D$16:$D$31,H40:H55)</f>
        <v>0</v>
      </c>
      <c r="I56" s="759">
        <f t="shared" ref="I56" si="12">SUMPRODUCT($D$16:$D$31,I40:I55)</f>
        <v>0</v>
      </c>
      <c r="J56" s="759">
        <f t="shared" ref="J56" si="13">SUMPRODUCT($D$16:$D$31,J40:J55)</f>
        <v>0</v>
      </c>
      <c r="K56" s="759">
        <f t="shared" ref="K56" si="14">SUMPRODUCT($D$16:$D$31,K40:K55)</f>
        <v>0</v>
      </c>
      <c r="L56" s="759">
        <f t="shared" ref="L56" si="15">SUMPRODUCT($D$16:$D$31,L40:L55)</f>
        <v>0</v>
      </c>
      <c r="M56" s="759">
        <f t="shared" ref="M56" si="16">SUMPRODUCT($D$16:$D$31,M40:M55)</f>
        <v>0</v>
      </c>
      <c r="N56" s="779"/>
      <c r="O56" s="780"/>
      <c r="P56" s="484">
        <f>SUM(P40:P55)</f>
        <v>0</v>
      </c>
      <c r="Q56" s="91"/>
      <c r="R56" s="485">
        <f>SUM(R40:R55)</f>
        <v>0</v>
      </c>
      <c r="S56" s="91"/>
      <c r="T56" s="486">
        <f>SUM(T40:T55)</f>
        <v>0</v>
      </c>
      <c r="V56" s="59" t="s">
        <v>1680</v>
      </c>
      <c r="W56" s="46">
        <v>0.318</v>
      </c>
      <c r="X56" s="46">
        <v>0.03</v>
      </c>
      <c r="Y56" s="46">
        <v>0.59400000000000008</v>
      </c>
      <c r="Z56" s="46">
        <v>0.42700000000000005</v>
      </c>
      <c r="AA56" s="46">
        <v>5.7999999999999996E-2</v>
      </c>
      <c r="AB56" s="46">
        <v>8.0000000000000002E-3</v>
      </c>
      <c r="AC56" s="46">
        <v>0.11400000000000006</v>
      </c>
      <c r="AD56" s="46">
        <v>5.0880000000000002E-2</v>
      </c>
      <c r="AE56" s="46">
        <v>0.8859999999999999</v>
      </c>
      <c r="AF56" s="59" t="s">
        <v>526</v>
      </c>
      <c r="AH56" s="59" t="s">
        <v>1635</v>
      </c>
    </row>
    <row r="57" spans="2:34" s="59" customFormat="1" ht="15.75" thickBot="1" x14ac:dyDescent="0.3">
      <c r="B57" s="480"/>
      <c r="C57" s="481"/>
      <c r="D57" s="482" t="str">
        <f>IF(D56=100%,"OK","Not 100%")</f>
        <v>Not 100%</v>
      </c>
      <c r="E57" s="760"/>
      <c r="F57" s="760"/>
      <c r="G57" s="760"/>
      <c r="H57" s="760"/>
      <c r="I57" s="760"/>
      <c r="J57" s="760"/>
      <c r="K57" s="760"/>
      <c r="L57" s="846"/>
      <c r="M57" s="847"/>
      <c r="N57" s="847"/>
      <c r="O57" s="847"/>
      <c r="P57" s="847"/>
      <c r="Q57" s="847"/>
      <c r="R57" s="847"/>
      <c r="S57" s="847"/>
      <c r="T57" s="848"/>
      <c r="V57" s="59" t="s">
        <v>1681</v>
      </c>
      <c r="W57" s="46">
        <v>0</v>
      </c>
      <c r="X57" s="46">
        <v>1</v>
      </c>
      <c r="Y57" s="46">
        <v>0</v>
      </c>
      <c r="Z57" s="46">
        <v>0</v>
      </c>
      <c r="AA57" s="46">
        <v>0</v>
      </c>
      <c r="AB57" s="46">
        <v>0</v>
      </c>
      <c r="AC57" s="46">
        <v>0</v>
      </c>
      <c r="AD57" s="46">
        <v>0</v>
      </c>
      <c r="AE57" s="46">
        <v>1</v>
      </c>
      <c r="AF57" s="59" t="s">
        <v>526</v>
      </c>
      <c r="AH57" s="59" t="s">
        <v>1635</v>
      </c>
    </row>
    <row r="58" spans="2:34" s="59" customFormat="1" ht="15.75" thickBot="1" x14ac:dyDescent="0.3">
      <c r="V58" s="59" t="s">
        <v>929</v>
      </c>
      <c r="W58" s="46">
        <v>0</v>
      </c>
      <c r="X58" s="46">
        <v>0.98799999999999999</v>
      </c>
      <c r="Y58" s="46">
        <v>1.000000000000003E-2</v>
      </c>
      <c r="Z58" s="46">
        <v>0</v>
      </c>
      <c r="AA58" s="46">
        <v>2E-3</v>
      </c>
      <c r="AB58" s="46">
        <v>0</v>
      </c>
      <c r="AC58" s="46">
        <v>0.01</v>
      </c>
      <c r="AD58" s="46">
        <v>0</v>
      </c>
      <c r="AE58" s="46">
        <v>0.99</v>
      </c>
      <c r="AF58" s="59" t="s">
        <v>1576</v>
      </c>
      <c r="AH58" s="59" t="s">
        <v>1635</v>
      </c>
    </row>
    <row r="59" spans="2:34" s="59" customFormat="1" ht="21.75" thickBot="1" x14ac:dyDescent="0.4">
      <c r="B59" s="860" t="s">
        <v>1470</v>
      </c>
      <c r="C59" s="861"/>
      <c r="D59" s="861"/>
      <c r="E59" s="861"/>
      <c r="F59" s="862"/>
      <c r="G59" s="862"/>
      <c r="H59" s="861"/>
      <c r="I59" s="861"/>
      <c r="J59" s="861"/>
      <c r="K59" s="861"/>
      <c r="L59" s="861"/>
      <c r="M59" s="861"/>
      <c r="N59" s="861"/>
      <c r="O59" s="861"/>
      <c r="P59" s="861"/>
      <c r="Q59" s="861"/>
      <c r="R59" s="861"/>
      <c r="S59" s="861"/>
      <c r="T59" s="863"/>
      <c r="V59" s="59" t="s">
        <v>1017</v>
      </c>
      <c r="W59" s="46">
        <v>0</v>
      </c>
      <c r="X59" s="46">
        <v>0</v>
      </c>
      <c r="Y59" s="46">
        <v>1</v>
      </c>
      <c r="Z59" s="46">
        <v>0</v>
      </c>
      <c r="AA59" s="46">
        <v>0</v>
      </c>
      <c r="AB59" s="46">
        <v>0</v>
      </c>
      <c r="AC59" s="46">
        <v>0.02</v>
      </c>
      <c r="AD59" s="46">
        <v>0</v>
      </c>
      <c r="AE59" s="46">
        <v>0.98</v>
      </c>
      <c r="AF59" s="59" t="s">
        <v>1576</v>
      </c>
      <c r="AH59" s="59" t="s">
        <v>1635</v>
      </c>
    </row>
    <row r="60" spans="2:34" s="59" customFormat="1" ht="15" customHeight="1" x14ac:dyDescent="0.25">
      <c r="B60" s="849" t="s">
        <v>1463</v>
      </c>
      <c r="C60" s="870"/>
      <c r="D60" s="873" t="s">
        <v>1193</v>
      </c>
      <c r="E60" s="875"/>
      <c r="F60" s="864" t="s">
        <v>1192</v>
      </c>
      <c r="G60" s="867"/>
      <c r="H60" s="877" t="s">
        <v>1188</v>
      </c>
      <c r="I60" s="491" t="s">
        <v>1464</v>
      </c>
      <c r="J60" s="495"/>
      <c r="K60" s="849" t="s">
        <v>1467</v>
      </c>
      <c r="L60" s="856" t="s">
        <v>1464</v>
      </c>
      <c r="M60" s="852"/>
      <c r="N60" s="853"/>
      <c r="O60" s="880"/>
      <c r="P60" s="881"/>
      <c r="Q60" s="881"/>
      <c r="R60" s="881"/>
      <c r="S60" s="881"/>
      <c r="T60" s="882"/>
      <c r="V60" s="59" t="s">
        <v>688</v>
      </c>
      <c r="W60" s="46">
        <v>7.2999999999999995E-2</v>
      </c>
      <c r="X60" s="46">
        <v>9.0000000000000011E-3</v>
      </c>
      <c r="Y60" s="46">
        <v>0.88700000000000001</v>
      </c>
      <c r="Z60" s="46">
        <v>0.10300000000000001</v>
      </c>
      <c r="AA60" s="46">
        <v>3.1E-2</v>
      </c>
      <c r="AB60" s="46">
        <v>1.4000000000000002E-3</v>
      </c>
      <c r="AC60" s="46">
        <v>0.11599999999999994</v>
      </c>
      <c r="AD60" s="46">
        <v>1.1679999999999999E-2</v>
      </c>
      <c r="AE60" s="46">
        <v>0.88400000000000001</v>
      </c>
      <c r="AF60" s="59" t="s">
        <v>1576</v>
      </c>
      <c r="AH60" s="59" t="s">
        <v>1635</v>
      </c>
    </row>
    <row r="61" spans="2:34" s="59" customFormat="1" x14ac:dyDescent="0.25">
      <c r="B61" s="850"/>
      <c r="C61" s="871"/>
      <c r="D61" s="874"/>
      <c r="E61" s="876"/>
      <c r="F61" s="865"/>
      <c r="G61" s="868"/>
      <c r="H61" s="878"/>
      <c r="I61" s="489" t="s">
        <v>1465</v>
      </c>
      <c r="J61" s="496"/>
      <c r="K61" s="850"/>
      <c r="L61" s="857"/>
      <c r="M61" s="854"/>
      <c r="N61" s="855"/>
      <c r="O61" s="883"/>
      <c r="P61" s="884"/>
      <c r="Q61" s="884"/>
      <c r="R61" s="884"/>
      <c r="S61" s="884"/>
      <c r="T61" s="885"/>
      <c r="V61" s="59" t="s">
        <v>1009</v>
      </c>
      <c r="W61" s="46">
        <v>0.25</v>
      </c>
      <c r="X61" s="46">
        <v>0.5</v>
      </c>
      <c r="Y61" s="46">
        <v>0.22</v>
      </c>
      <c r="Z61" s="46">
        <v>0</v>
      </c>
      <c r="AA61" s="46">
        <v>0.03</v>
      </c>
      <c r="AB61" s="46">
        <v>2E-3</v>
      </c>
      <c r="AC61" s="46">
        <v>0.02</v>
      </c>
      <c r="AD61" s="46">
        <v>0.04</v>
      </c>
      <c r="AE61" s="46">
        <v>0.98</v>
      </c>
      <c r="AF61" s="59" t="s">
        <v>1576</v>
      </c>
      <c r="AH61" s="59" t="s">
        <v>1635</v>
      </c>
    </row>
    <row r="62" spans="2:34" s="59" customFormat="1" ht="15.75" thickBot="1" x14ac:dyDescent="0.3">
      <c r="B62" s="851"/>
      <c r="C62" s="872"/>
      <c r="D62" s="874"/>
      <c r="E62" s="876"/>
      <c r="F62" s="866"/>
      <c r="G62" s="869"/>
      <c r="H62" s="879"/>
      <c r="I62" s="490" t="s">
        <v>1466</v>
      </c>
      <c r="J62" s="497"/>
      <c r="K62" s="851"/>
      <c r="L62" s="490" t="s">
        <v>1468</v>
      </c>
      <c r="M62" s="858"/>
      <c r="N62" s="859"/>
      <c r="O62" s="886"/>
      <c r="P62" s="887"/>
      <c r="Q62" s="887"/>
      <c r="R62" s="887"/>
      <c r="S62" s="887"/>
      <c r="T62" s="888"/>
      <c r="V62" s="59" t="s">
        <v>1010</v>
      </c>
      <c r="W62" s="46">
        <v>0.3</v>
      </c>
      <c r="X62" s="46">
        <v>0.45</v>
      </c>
      <c r="Y62" s="46">
        <v>0.22</v>
      </c>
      <c r="Z62" s="46">
        <v>0</v>
      </c>
      <c r="AA62" s="46">
        <v>0.03</v>
      </c>
      <c r="AB62" s="46">
        <v>0</v>
      </c>
      <c r="AC62" s="46">
        <v>0.02</v>
      </c>
      <c r="AD62" s="46">
        <v>4.8000000000000001E-2</v>
      </c>
      <c r="AE62" s="46">
        <v>0.98</v>
      </c>
      <c r="AF62" s="59" t="s">
        <v>1576</v>
      </c>
      <c r="AH62" s="59" t="s">
        <v>1635</v>
      </c>
    </row>
    <row r="63" spans="2:34" s="59" customFormat="1" ht="45.75" thickBot="1" x14ac:dyDescent="0.3">
      <c r="B63" s="488"/>
      <c r="C63" s="762" t="s">
        <v>511</v>
      </c>
      <c r="D63" s="768" t="s">
        <v>512</v>
      </c>
      <c r="E63" s="769" t="s">
        <v>1479</v>
      </c>
      <c r="F63" s="492" t="s">
        <v>1571</v>
      </c>
      <c r="G63" s="492" t="s">
        <v>1636</v>
      </c>
      <c r="H63" s="769" t="s">
        <v>1573</v>
      </c>
      <c r="I63" s="769" t="s">
        <v>1574</v>
      </c>
      <c r="J63" s="769" t="s">
        <v>1090</v>
      </c>
      <c r="K63" s="769" t="s">
        <v>1575</v>
      </c>
      <c r="L63" s="769" t="s">
        <v>1041</v>
      </c>
      <c r="M63" s="770" t="s">
        <v>1046</v>
      </c>
      <c r="N63" s="766" t="s">
        <v>1063</v>
      </c>
      <c r="O63" s="492" t="s">
        <v>1067</v>
      </c>
      <c r="P63" s="492" t="s">
        <v>1066</v>
      </c>
      <c r="Q63" s="492" t="s">
        <v>519</v>
      </c>
      <c r="R63" s="492"/>
      <c r="S63" s="493" t="s">
        <v>1189</v>
      </c>
      <c r="T63" s="494" t="s">
        <v>1190</v>
      </c>
      <c r="V63" s="59" t="s">
        <v>1011</v>
      </c>
      <c r="W63" s="46">
        <v>0.3</v>
      </c>
      <c r="X63" s="46">
        <v>0.45</v>
      </c>
      <c r="Y63" s="46">
        <v>0.22</v>
      </c>
      <c r="Z63" s="46">
        <v>0</v>
      </c>
      <c r="AA63" s="46">
        <v>0.03</v>
      </c>
      <c r="AB63" s="46">
        <v>0</v>
      </c>
      <c r="AC63" s="46">
        <v>0.02</v>
      </c>
      <c r="AD63" s="46">
        <v>4.8000000000000001E-2</v>
      </c>
      <c r="AE63" s="46">
        <v>0.98</v>
      </c>
      <c r="AF63" s="59" t="s">
        <v>1576</v>
      </c>
      <c r="AH63" s="59" t="s">
        <v>1635</v>
      </c>
    </row>
    <row r="64" spans="2:34" s="59" customFormat="1" x14ac:dyDescent="0.25">
      <c r="B64" s="21" t="s">
        <v>513</v>
      </c>
      <c r="C64" s="763"/>
      <c r="D64" s="771"/>
      <c r="E64" s="761" t="str">
        <f>IF(C64="","",VLOOKUP(C64,Table_ingredients[],2,FALSE))</f>
        <v/>
      </c>
      <c r="F64" s="761" t="str">
        <f>IF(C64="","",VLOOKUP(C64,Table_ingredients[],3,FALSE))</f>
        <v/>
      </c>
      <c r="G64" s="761" t="str">
        <f>IF(C64="","",VLOOKUP(C64,Table_ingredients[],4,FALSE))</f>
        <v/>
      </c>
      <c r="H64" s="761" t="str">
        <f>IF(C64="","",VLOOKUP(C64,Table_ingredients[],5,FALSE))</f>
        <v/>
      </c>
      <c r="I64" s="761" t="str">
        <f>IF(C64="","",VLOOKUP(C64,Table_ingredients[],6,FALSE))</f>
        <v/>
      </c>
      <c r="J64" s="761" t="str">
        <f>IF(C64="","",VLOOKUP(C64,Table_ingredients[],7,FALSE))</f>
        <v/>
      </c>
      <c r="K64" s="761" t="str">
        <f>IF(C64="","",VLOOKUP(C64,Table_ingredients[],8,FALSE))</f>
        <v/>
      </c>
      <c r="L64" s="474" t="str">
        <f>IF(C64="","",VLOOKUP(C64,Table_ingredients[],9,FALSE))</f>
        <v/>
      </c>
      <c r="M64" s="772" t="str">
        <f>IF(C64="","",VLOOKUP(C64,Table_ingredients[],10,FALSE))</f>
        <v/>
      </c>
      <c r="N64" s="767" t="str">
        <f>IF(C64="","",VLOOKUP(C64,Table_ingredients[],12,FALSE))</f>
        <v/>
      </c>
      <c r="O64" s="476" t="str">
        <f>IF(N64=$C$3,"Yes","No")</f>
        <v>No</v>
      </c>
      <c r="P64" s="474">
        <f t="shared" ref="P64:P79" si="17">IF(O64="Yes",D64,0)</f>
        <v>0</v>
      </c>
      <c r="Q64" s="475" t="str">
        <f>IF(C64="","",VLOOKUP(C64,Table_ingredients[],13,FALSE))</f>
        <v/>
      </c>
      <c r="R64" s="474">
        <f t="shared" ref="R64:R79" si="18">IF(Q64="Yes",D64,0)</f>
        <v>0</v>
      </c>
      <c r="S64" s="109"/>
      <c r="T64" s="120">
        <f t="shared" ref="T64:T79" si="19">S64*D64*$C$12</f>
        <v>0</v>
      </c>
      <c r="V64" s="59" t="s">
        <v>1012</v>
      </c>
      <c r="W64" s="46">
        <v>0.3</v>
      </c>
      <c r="X64" s="46">
        <v>0.45</v>
      </c>
      <c r="Y64" s="46">
        <v>0.22</v>
      </c>
      <c r="Z64" s="46">
        <v>0</v>
      </c>
      <c r="AA64" s="46">
        <v>0.03</v>
      </c>
      <c r="AB64" s="46">
        <v>0</v>
      </c>
      <c r="AC64" s="46">
        <v>0.02</v>
      </c>
      <c r="AD64" s="46">
        <v>4.8000000000000001E-2</v>
      </c>
      <c r="AE64" s="46">
        <v>0.98</v>
      </c>
      <c r="AF64" s="59" t="s">
        <v>1576</v>
      </c>
      <c r="AH64" s="59" t="s">
        <v>1635</v>
      </c>
    </row>
    <row r="65" spans="2:34" s="59" customFormat="1" x14ac:dyDescent="0.25">
      <c r="B65" s="13" t="s">
        <v>514</v>
      </c>
      <c r="C65" s="764"/>
      <c r="D65" s="773"/>
      <c r="E65" s="761" t="str">
        <f>IF(C65="","",VLOOKUP(C65,Table_ingredients[],2,FALSE))</f>
        <v/>
      </c>
      <c r="F65" s="761" t="str">
        <f>IF(C65="","",VLOOKUP(C65,Table_ingredients[],3,FALSE))</f>
        <v/>
      </c>
      <c r="G65" s="761" t="str">
        <f>IF(C65="","",VLOOKUP(C65,Table_ingredients[],4,FALSE))</f>
        <v/>
      </c>
      <c r="H65" s="761" t="str">
        <f>IF(C65="","",VLOOKUP(C65,Table_ingredients[],5,FALSE))</f>
        <v/>
      </c>
      <c r="I65" s="761" t="str">
        <f>IF(C65="","",VLOOKUP(C65,Table_ingredients[],6,FALSE))</f>
        <v/>
      </c>
      <c r="J65" s="761" t="str">
        <f>IF(C65="","",VLOOKUP(C65,Table_ingredients[],7,FALSE))</f>
        <v/>
      </c>
      <c r="K65" s="761" t="str">
        <f>IF(C65="","",VLOOKUP(C65,Table_ingredients[],8,FALSE))</f>
        <v/>
      </c>
      <c r="L65" s="474" t="str">
        <f>IF(C65="","",VLOOKUP(C65,Table_ingredients[],9,FALSE))</f>
        <v/>
      </c>
      <c r="M65" s="772" t="str">
        <f>IF(C65="","",VLOOKUP(C65,Table_ingredients[],10,FALSE))</f>
        <v/>
      </c>
      <c r="N65" s="767" t="str">
        <f>IF(C65="","",VLOOKUP(C65,Table_ingredients[],12,FALSE))</f>
        <v/>
      </c>
      <c r="O65" s="472" t="str">
        <f t="shared" ref="O65:O79" si="20">IF(N65=$C$3,"Yes","No")</f>
        <v>No</v>
      </c>
      <c r="P65" s="471">
        <f t="shared" si="17"/>
        <v>0</v>
      </c>
      <c r="Q65" s="475" t="str">
        <f>IF(C65="","",VLOOKUP(C65,Table_ingredients[],13,FALSE))</f>
        <v/>
      </c>
      <c r="R65" s="471">
        <f t="shared" si="18"/>
        <v>0</v>
      </c>
      <c r="S65" s="104"/>
      <c r="T65" s="120">
        <f t="shared" si="19"/>
        <v>0</v>
      </c>
      <c r="V65" s="59" t="s">
        <v>671</v>
      </c>
      <c r="W65" s="46">
        <v>0.83400000000000007</v>
      </c>
      <c r="X65" s="46">
        <v>5.0000000000000001E-3</v>
      </c>
      <c r="Y65" s="46">
        <v>0.12799999999999995</v>
      </c>
      <c r="Z65" s="46">
        <v>2E-3</v>
      </c>
      <c r="AA65" s="46">
        <v>3.3000000000000002E-2</v>
      </c>
      <c r="AB65" s="46">
        <v>6.6E-3</v>
      </c>
      <c r="AC65" s="46">
        <v>9.2000000000000026E-2</v>
      </c>
      <c r="AD65" s="46">
        <v>0.13344</v>
      </c>
      <c r="AE65" s="46">
        <v>0.90799999999999992</v>
      </c>
      <c r="AF65" s="59" t="s">
        <v>1576</v>
      </c>
      <c r="AH65" s="59" t="s">
        <v>1635</v>
      </c>
    </row>
    <row r="66" spans="2:34" s="59" customFormat="1" x14ac:dyDescent="0.25">
      <c r="B66" s="13" t="s">
        <v>515</v>
      </c>
      <c r="C66" s="764"/>
      <c r="D66" s="773"/>
      <c r="E66" s="761" t="str">
        <f>IF(C66="","",VLOOKUP(C66,Table_ingredients[],2,FALSE))</f>
        <v/>
      </c>
      <c r="F66" s="761" t="str">
        <f>IF(C66="","",VLOOKUP(C66,Table_ingredients[],3,FALSE))</f>
        <v/>
      </c>
      <c r="G66" s="761" t="str">
        <f>IF(C66="","",VLOOKUP(C66,Table_ingredients[],4,FALSE))</f>
        <v/>
      </c>
      <c r="H66" s="761" t="str">
        <f>IF(C66="","",VLOOKUP(C66,Table_ingredients[],5,FALSE))</f>
        <v/>
      </c>
      <c r="I66" s="761" t="str">
        <f>IF(C66="","",VLOOKUP(C66,Table_ingredients[],6,FALSE))</f>
        <v/>
      </c>
      <c r="J66" s="761" t="str">
        <f>IF(C66="","",VLOOKUP(C66,Table_ingredients[],7,FALSE))</f>
        <v/>
      </c>
      <c r="K66" s="761" t="str">
        <f>IF(C66="","",VLOOKUP(C66,Table_ingredients[],8,FALSE))</f>
        <v/>
      </c>
      <c r="L66" s="474" t="str">
        <f>IF(C66="","",VLOOKUP(C66,Table_ingredients[],9,FALSE))</f>
        <v/>
      </c>
      <c r="M66" s="772" t="str">
        <f>IF(C66="","",VLOOKUP(C66,Table_ingredients[],10,FALSE))</f>
        <v/>
      </c>
      <c r="N66" s="767" t="str">
        <f>IF(C66="","",VLOOKUP(C66,Table_ingredients[],12,FALSE))</f>
        <v/>
      </c>
      <c r="O66" s="472" t="str">
        <f t="shared" si="20"/>
        <v>No</v>
      </c>
      <c r="P66" s="471">
        <f t="shared" si="17"/>
        <v>0</v>
      </c>
      <c r="Q66" s="475" t="str">
        <f>IF(C66="","",VLOOKUP(C66,Table_ingredients[],13,FALSE))</f>
        <v/>
      </c>
      <c r="R66" s="471">
        <f t="shared" si="18"/>
        <v>0</v>
      </c>
      <c r="S66" s="104"/>
      <c r="T66" s="120">
        <f t="shared" si="19"/>
        <v>0</v>
      </c>
      <c r="V66" s="59" t="s">
        <v>689</v>
      </c>
      <c r="W66" s="46">
        <v>2.8999999999999998E-2</v>
      </c>
      <c r="X66" s="46">
        <v>6.9999999999999993E-3</v>
      </c>
      <c r="Y66" s="46">
        <v>0.93699999999999983</v>
      </c>
      <c r="Z66" s="46">
        <v>3.9E-2</v>
      </c>
      <c r="AA66" s="46">
        <v>2.7000000000000003E-2</v>
      </c>
      <c r="AB66" s="46">
        <v>8.9999999999999998E-4</v>
      </c>
      <c r="AC66" s="46">
        <v>0.13</v>
      </c>
      <c r="AD66" s="46">
        <v>4.64E-3</v>
      </c>
      <c r="AE66" s="46">
        <v>0.87</v>
      </c>
      <c r="AF66" s="59" t="s">
        <v>1576</v>
      </c>
      <c r="AH66" s="59" t="s">
        <v>1635</v>
      </c>
    </row>
    <row r="67" spans="2:34" s="59" customFormat="1" x14ac:dyDescent="0.25">
      <c r="B67" s="13" t="s">
        <v>516</v>
      </c>
      <c r="C67" s="764"/>
      <c r="D67" s="773"/>
      <c r="E67" s="761" t="str">
        <f>IF(C67="","",VLOOKUP(C67,Table_ingredients[],2,FALSE))</f>
        <v/>
      </c>
      <c r="F67" s="761" t="str">
        <f>IF(C67="","",VLOOKUP(C67,Table_ingredients[],3,FALSE))</f>
        <v/>
      </c>
      <c r="G67" s="761" t="str">
        <f>IF(C67="","",VLOOKUP(C67,Table_ingredients[],4,FALSE))</f>
        <v/>
      </c>
      <c r="H67" s="761" t="str">
        <f>IF(C67="","",VLOOKUP(C67,Table_ingredients[],5,FALSE))</f>
        <v/>
      </c>
      <c r="I67" s="761" t="str">
        <f>IF(C67="","",VLOOKUP(C67,Table_ingredients[],6,FALSE))</f>
        <v/>
      </c>
      <c r="J67" s="761" t="str">
        <f>IF(C67="","",VLOOKUP(C67,Table_ingredients[],7,FALSE))</f>
        <v/>
      </c>
      <c r="K67" s="761" t="str">
        <f>IF(C67="","",VLOOKUP(C67,Table_ingredients[],8,FALSE))</f>
        <v/>
      </c>
      <c r="L67" s="474" t="str">
        <f>IF(C67="","",VLOOKUP(C67,Table_ingredients[],9,FALSE))</f>
        <v/>
      </c>
      <c r="M67" s="772" t="str">
        <f>IF(C67="","",VLOOKUP(C67,Table_ingredients[],10,FALSE))</f>
        <v/>
      </c>
      <c r="N67" s="767" t="str">
        <f>IF(C67="","",VLOOKUP(C67,Table_ingredients[],12,FALSE))</f>
        <v/>
      </c>
      <c r="O67" s="472" t="str">
        <f t="shared" si="20"/>
        <v>No</v>
      </c>
      <c r="P67" s="471">
        <f t="shared" si="17"/>
        <v>0</v>
      </c>
      <c r="Q67" s="475" t="str">
        <f>IF(C67="","",VLOOKUP(C67,Table_ingredients[],13,FALSE))</f>
        <v/>
      </c>
      <c r="R67" s="471">
        <f t="shared" si="18"/>
        <v>0</v>
      </c>
      <c r="S67" s="104"/>
      <c r="T67" s="120">
        <f t="shared" si="19"/>
        <v>0</v>
      </c>
      <c r="V67" s="59" t="s">
        <v>930</v>
      </c>
      <c r="W67" s="46">
        <v>0</v>
      </c>
      <c r="X67" s="46">
        <v>0.99</v>
      </c>
      <c r="Y67" s="46">
        <v>0.01</v>
      </c>
      <c r="Z67" s="46">
        <v>0</v>
      </c>
      <c r="AA67" s="46">
        <v>0</v>
      </c>
      <c r="AB67" s="46">
        <v>0</v>
      </c>
      <c r="AC67" s="46">
        <v>0.01</v>
      </c>
      <c r="AD67" s="46">
        <v>0</v>
      </c>
      <c r="AE67" s="46">
        <v>0.99</v>
      </c>
      <c r="AF67" s="59" t="s">
        <v>1576</v>
      </c>
      <c r="AH67" s="59" t="s">
        <v>1635</v>
      </c>
    </row>
    <row r="68" spans="2:34" s="59" customFormat="1" x14ac:dyDescent="0.25">
      <c r="B68" s="13" t="s">
        <v>517</v>
      </c>
      <c r="C68" s="764"/>
      <c r="D68" s="773"/>
      <c r="E68" s="761" t="str">
        <f>IF(C68="","",VLOOKUP(C68,Table_ingredients[],2,FALSE))</f>
        <v/>
      </c>
      <c r="F68" s="761" t="str">
        <f>IF(C68="","",VLOOKUP(C68,Table_ingredients[],3,FALSE))</f>
        <v/>
      </c>
      <c r="G68" s="761" t="str">
        <f>IF(C68="","",VLOOKUP(C68,Table_ingredients[],4,FALSE))</f>
        <v/>
      </c>
      <c r="H68" s="761" t="str">
        <f>IF(C68="","",VLOOKUP(C68,Table_ingredients[],5,FALSE))</f>
        <v/>
      </c>
      <c r="I68" s="761" t="str">
        <f>IF(C68="","",VLOOKUP(C68,Table_ingredients[],6,FALSE))</f>
        <v/>
      </c>
      <c r="J68" s="761" t="str">
        <f>IF(C68="","",VLOOKUP(C68,Table_ingredients[],7,FALSE))</f>
        <v/>
      </c>
      <c r="K68" s="761" t="str">
        <f>IF(C68="","",VLOOKUP(C68,Table_ingredients[],8,FALSE))</f>
        <v/>
      </c>
      <c r="L68" s="474" t="str">
        <f>IF(C68="","",VLOOKUP(C68,Table_ingredients[],9,FALSE))</f>
        <v/>
      </c>
      <c r="M68" s="772" t="str">
        <f>IF(C68="","",VLOOKUP(C68,Table_ingredients[],10,FALSE))</f>
        <v/>
      </c>
      <c r="N68" s="767" t="str">
        <f>IF(C68="","",VLOOKUP(C68,Table_ingredients[],12,FALSE))</f>
        <v/>
      </c>
      <c r="O68" s="472" t="str">
        <f t="shared" si="20"/>
        <v>No</v>
      </c>
      <c r="P68" s="471">
        <f t="shared" si="17"/>
        <v>0</v>
      </c>
      <c r="Q68" s="475" t="str">
        <f>IF(C68="","",VLOOKUP(C68,Table_ingredients[],13,FALSE))</f>
        <v/>
      </c>
      <c r="R68" s="471">
        <f t="shared" si="18"/>
        <v>0</v>
      </c>
      <c r="S68" s="104"/>
      <c r="T68" s="120">
        <f t="shared" si="19"/>
        <v>0</v>
      </c>
      <c r="V68" s="59" t="s">
        <v>690</v>
      </c>
      <c r="W68" s="46">
        <v>0.35499999999999998</v>
      </c>
      <c r="X68" s="46">
        <v>0.01</v>
      </c>
      <c r="Y68" s="46">
        <v>0.56499999999999995</v>
      </c>
      <c r="Z68" s="46">
        <v>0.32299999999999995</v>
      </c>
      <c r="AA68" s="46">
        <v>7.0000000000000007E-2</v>
      </c>
      <c r="AB68" s="46">
        <v>3.0999999999999999E-3</v>
      </c>
      <c r="AC68" s="46">
        <v>8.9000000000000051E-2</v>
      </c>
      <c r="AD68" s="46">
        <v>5.6799999999999996E-2</v>
      </c>
      <c r="AE68" s="46">
        <v>0.91099999999999992</v>
      </c>
      <c r="AF68" s="59" t="s">
        <v>1576</v>
      </c>
      <c r="AH68" s="59" t="s">
        <v>1635</v>
      </c>
    </row>
    <row r="69" spans="2:34" s="59" customFormat="1" x14ac:dyDescent="0.25">
      <c r="B69" s="13" t="s">
        <v>518</v>
      </c>
      <c r="C69" s="764"/>
      <c r="D69" s="773"/>
      <c r="E69" s="761" t="str">
        <f>IF(C69="","",VLOOKUP(C69,Table_ingredients[],2,FALSE))</f>
        <v/>
      </c>
      <c r="F69" s="761" t="str">
        <f>IF(C69="","",VLOOKUP(C69,Table_ingredients[],3,FALSE))</f>
        <v/>
      </c>
      <c r="G69" s="761" t="str">
        <f>IF(C69="","",VLOOKUP(C69,Table_ingredients[],4,FALSE))</f>
        <v/>
      </c>
      <c r="H69" s="761" t="str">
        <f>IF(C69="","",VLOOKUP(C69,Table_ingredients[],5,FALSE))</f>
        <v/>
      </c>
      <c r="I69" s="761" t="str">
        <f>IF(C69="","",VLOOKUP(C69,Table_ingredients[],6,FALSE))</f>
        <v/>
      </c>
      <c r="J69" s="761" t="str">
        <f>IF(C69="","",VLOOKUP(C69,Table_ingredients[],7,FALSE))</f>
        <v/>
      </c>
      <c r="K69" s="761" t="str">
        <f>IF(C69="","",VLOOKUP(C69,Table_ingredients[],8,FALSE))</f>
        <v/>
      </c>
      <c r="L69" s="474" t="str">
        <f>IF(C69="","",VLOOKUP(C69,Table_ingredients[],9,FALSE))</f>
        <v/>
      </c>
      <c r="M69" s="772" t="str">
        <f>IF(C69="","",VLOOKUP(C69,Table_ingredients[],10,FALSE))</f>
        <v/>
      </c>
      <c r="N69" s="767" t="str">
        <f>IF(C69="","",VLOOKUP(C69,Table_ingredients[],12,FALSE))</f>
        <v/>
      </c>
      <c r="O69" s="472" t="str">
        <f t="shared" si="20"/>
        <v>No</v>
      </c>
      <c r="P69" s="471">
        <f t="shared" si="17"/>
        <v>0</v>
      </c>
      <c r="Q69" s="475" t="str">
        <f>IF(C69="","",VLOOKUP(C69,Table_ingredients[],13,FALSE))</f>
        <v/>
      </c>
      <c r="R69" s="471">
        <f t="shared" si="18"/>
        <v>0</v>
      </c>
      <c r="S69" s="104"/>
      <c r="T69" s="120">
        <f t="shared" si="19"/>
        <v>0</v>
      </c>
      <c r="V69" s="59" t="s">
        <v>691</v>
      </c>
      <c r="W69" s="46">
        <v>0.21299999999999999</v>
      </c>
      <c r="X69" s="46">
        <v>5.5999999999999994E-2</v>
      </c>
      <c r="Y69" s="46">
        <v>0.69800000000000006</v>
      </c>
      <c r="Z69" s="46">
        <v>5.2999999999999999E-2</v>
      </c>
      <c r="AA69" s="46">
        <v>3.3000000000000002E-2</v>
      </c>
      <c r="AB69" s="46">
        <v>3.9000000000000003E-3</v>
      </c>
      <c r="AC69" s="46">
        <v>0.10400000000000005</v>
      </c>
      <c r="AD69" s="46">
        <v>3.4079999999999999E-2</v>
      </c>
      <c r="AE69" s="46">
        <v>0.89599999999999991</v>
      </c>
      <c r="AF69" s="59" t="s">
        <v>1576</v>
      </c>
      <c r="AH69" s="59" t="s">
        <v>1635</v>
      </c>
    </row>
    <row r="70" spans="2:34" x14ac:dyDescent="0.25">
      <c r="B70" s="13" t="s">
        <v>520</v>
      </c>
      <c r="C70" s="764"/>
      <c r="D70" s="773"/>
      <c r="E70" s="761" t="str">
        <f>IF(C70="","",VLOOKUP(C70,Table_ingredients[],2,FALSE))</f>
        <v/>
      </c>
      <c r="F70" s="761" t="str">
        <f>IF(C70="","",VLOOKUP(C70,Table_ingredients[],3,FALSE))</f>
        <v/>
      </c>
      <c r="G70" s="761" t="str">
        <f>IF(C70="","",VLOOKUP(C70,Table_ingredients[],4,FALSE))</f>
        <v/>
      </c>
      <c r="H70" s="761" t="str">
        <f>IF(C70="","",VLOOKUP(C70,Table_ingredients[],5,FALSE))</f>
        <v/>
      </c>
      <c r="I70" s="761" t="str">
        <f>IF(C70="","",VLOOKUP(C70,Table_ingredients[],6,FALSE))</f>
        <v/>
      </c>
      <c r="J70" s="761" t="str">
        <f>IF(C70="","",VLOOKUP(C70,Table_ingredients[],7,FALSE))</f>
        <v/>
      </c>
      <c r="K70" s="761" t="str">
        <f>IF(C70="","",VLOOKUP(C70,Table_ingredients[],8,FALSE))</f>
        <v/>
      </c>
      <c r="L70" s="474" t="str">
        <f>IF(C70="","",VLOOKUP(C70,Table_ingredients[],9,FALSE))</f>
        <v/>
      </c>
      <c r="M70" s="772" t="str">
        <f>IF(C70="","",VLOOKUP(C70,Table_ingredients[],10,FALSE))</f>
        <v/>
      </c>
      <c r="N70" s="767" t="str">
        <f>IF(C70="","",VLOOKUP(C70,Table_ingredients[],12,FALSE))</f>
        <v/>
      </c>
      <c r="O70" s="472" t="str">
        <f t="shared" si="20"/>
        <v>No</v>
      </c>
      <c r="P70" s="471">
        <f t="shared" si="17"/>
        <v>0</v>
      </c>
      <c r="Q70" s="475" t="str">
        <f>IF(C70="","",VLOOKUP(C70,Table_ingredients[],13,FALSE))</f>
        <v/>
      </c>
      <c r="R70" s="471">
        <f t="shared" si="18"/>
        <v>0</v>
      </c>
      <c r="S70" s="104"/>
      <c r="T70" s="120">
        <f t="shared" si="19"/>
        <v>0</v>
      </c>
      <c r="V70" s="59" t="s">
        <v>928</v>
      </c>
      <c r="W70" s="46">
        <v>0</v>
      </c>
      <c r="X70" s="46">
        <v>0.99</v>
      </c>
      <c r="Y70" s="46">
        <v>0.01</v>
      </c>
      <c r="Z70" s="46">
        <v>0</v>
      </c>
      <c r="AA70" s="46">
        <v>0</v>
      </c>
      <c r="AB70" s="46">
        <v>0</v>
      </c>
      <c r="AC70" s="46">
        <v>0.01</v>
      </c>
      <c r="AD70" s="46">
        <v>0</v>
      </c>
      <c r="AE70" s="46">
        <v>0.99</v>
      </c>
      <c r="AF70" s="59" t="s">
        <v>1576</v>
      </c>
      <c r="AG70" s="59"/>
      <c r="AH70" s="59" t="s">
        <v>1635</v>
      </c>
    </row>
    <row r="71" spans="2:34" x14ac:dyDescent="0.25">
      <c r="B71" s="13" t="s">
        <v>521</v>
      </c>
      <c r="C71" s="764"/>
      <c r="D71" s="774"/>
      <c r="E71" s="761" t="str">
        <f>IF(C71="","",VLOOKUP(C71,Table_ingredients[],2,FALSE))</f>
        <v/>
      </c>
      <c r="F71" s="761" t="str">
        <f>IF(C71="","",VLOOKUP(C71,Table_ingredients[],3,FALSE))</f>
        <v/>
      </c>
      <c r="G71" s="761" t="str">
        <f>IF(C71="","",VLOOKUP(C71,Table_ingredients[],4,FALSE))</f>
        <v/>
      </c>
      <c r="H71" s="761" t="str">
        <f>IF(C71="","",VLOOKUP(C71,Table_ingredients[],5,FALSE))</f>
        <v/>
      </c>
      <c r="I71" s="761" t="str">
        <f>IF(C71="","",VLOOKUP(C71,Table_ingredients[],6,FALSE))</f>
        <v/>
      </c>
      <c r="J71" s="761" t="str">
        <f>IF(C71="","",VLOOKUP(C71,Table_ingredients[],7,FALSE))</f>
        <v/>
      </c>
      <c r="K71" s="761" t="str">
        <f>IF(C71="","",VLOOKUP(C71,Table_ingredients[],8,FALSE))</f>
        <v/>
      </c>
      <c r="L71" s="474" t="str">
        <f>IF(C71="","",VLOOKUP(C71,Table_ingredients[],9,FALSE))</f>
        <v/>
      </c>
      <c r="M71" s="772" t="str">
        <f>IF(C71="","",VLOOKUP(C71,Table_ingredients[],10,FALSE))</f>
        <v/>
      </c>
      <c r="N71" s="767" t="str">
        <f>IF(C71="","",VLOOKUP(C71,Table_ingredients[],12,FALSE))</f>
        <v/>
      </c>
      <c r="O71" s="472" t="str">
        <f t="shared" si="20"/>
        <v>No</v>
      </c>
      <c r="P71" s="471">
        <f t="shared" si="17"/>
        <v>0</v>
      </c>
      <c r="Q71" s="475" t="str">
        <f>IF(C71="","",VLOOKUP(C71,Table_ingredients[],13,FALSE))</f>
        <v/>
      </c>
      <c r="R71" s="471">
        <f t="shared" si="18"/>
        <v>0</v>
      </c>
      <c r="S71" s="104"/>
      <c r="T71" s="120">
        <f t="shared" si="19"/>
        <v>0</v>
      </c>
      <c r="V71" s="59" t="s">
        <v>945</v>
      </c>
      <c r="W71" s="46">
        <v>0</v>
      </c>
      <c r="X71" s="46">
        <v>0.95</v>
      </c>
      <c r="Y71" s="46">
        <v>0.05</v>
      </c>
      <c r="Z71" s="46">
        <v>0</v>
      </c>
      <c r="AA71" s="46">
        <v>0</v>
      </c>
      <c r="AB71" s="46">
        <v>0</v>
      </c>
      <c r="AC71" s="46">
        <v>0.01</v>
      </c>
      <c r="AD71" s="46">
        <v>0</v>
      </c>
      <c r="AE71" s="46">
        <v>0.99</v>
      </c>
      <c r="AF71" s="59" t="s">
        <v>1576</v>
      </c>
      <c r="AG71" s="59"/>
      <c r="AH71" s="59" t="s">
        <v>1635</v>
      </c>
    </row>
    <row r="72" spans="2:34" x14ac:dyDescent="0.25">
      <c r="B72" s="13" t="s">
        <v>522</v>
      </c>
      <c r="C72" s="764"/>
      <c r="D72" s="774"/>
      <c r="E72" s="761" t="str">
        <f>IF(C72="","",VLOOKUP(C72,Table_ingredients[],2,FALSE))</f>
        <v/>
      </c>
      <c r="F72" s="761" t="str">
        <f>IF(C72="","",VLOOKUP(C72,Table_ingredients[],3,FALSE))</f>
        <v/>
      </c>
      <c r="G72" s="761" t="str">
        <f>IF(C72="","",VLOOKUP(C72,Table_ingredients[],4,FALSE))</f>
        <v/>
      </c>
      <c r="H72" s="761" t="str">
        <f>IF(C72="","",VLOOKUP(C72,Table_ingredients[],5,FALSE))</f>
        <v/>
      </c>
      <c r="I72" s="761" t="str">
        <f>IF(C72="","",VLOOKUP(C72,Table_ingredients[],6,FALSE))</f>
        <v/>
      </c>
      <c r="J72" s="761" t="str">
        <f>IF(C72="","",VLOOKUP(C72,Table_ingredients[],7,FALSE))</f>
        <v/>
      </c>
      <c r="K72" s="761" t="str">
        <f>IF(C72="","",VLOOKUP(C72,Table_ingredients[],8,FALSE))</f>
        <v/>
      </c>
      <c r="L72" s="474" t="str">
        <f>IF(C72="","",VLOOKUP(C72,Table_ingredients[],9,FALSE))</f>
        <v/>
      </c>
      <c r="M72" s="772" t="str">
        <f>IF(C72="","",VLOOKUP(C72,Table_ingredients[],10,FALSE))</f>
        <v/>
      </c>
      <c r="N72" s="767" t="str">
        <f>IF(C72="","",VLOOKUP(C72,Table_ingredients[],12,FALSE))</f>
        <v/>
      </c>
      <c r="O72" s="472" t="str">
        <f t="shared" si="20"/>
        <v>No</v>
      </c>
      <c r="P72" s="471">
        <f t="shared" si="17"/>
        <v>0</v>
      </c>
      <c r="Q72" s="475" t="str">
        <f>IF(C72="","",VLOOKUP(C72,Table_ingredients[],13,FALSE))</f>
        <v/>
      </c>
      <c r="R72" s="471">
        <f t="shared" si="18"/>
        <v>0</v>
      </c>
      <c r="S72" s="104"/>
      <c r="T72" s="120">
        <f t="shared" si="19"/>
        <v>0</v>
      </c>
      <c r="V72" s="59" t="s">
        <v>953</v>
      </c>
      <c r="W72" s="46">
        <v>0</v>
      </c>
      <c r="X72" s="46">
        <v>0.9</v>
      </c>
      <c r="Y72" s="46">
        <v>0.1</v>
      </c>
      <c r="Z72" s="46">
        <v>0</v>
      </c>
      <c r="AA72" s="46">
        <v>0</v>
      </c>
      <c r="AB72" s="46">
        <v>0</v>
      </c>
      <c r="AC72" s="46">
        <v>0.02</v>
      </c>
      <c r="AD72" s="46">
        <v>0</v>
      </c>
      <c r="AE72" s="46">
        <v>0.98</v>
      </c>
      <c r="AF72" s="59" t="s">
        <v>1576</v>
      </c>
      <c r="AG72" s="59"/>
      <c r="AH72" s="59" t="s">
        <v>1635</v>
      </c>
    </row>
    <row r="73" spans="2:34" x14ac:dyDescent="0.25">
      <c r="B73" s="13" t="s">
        <v>523</v>
      </c>
      <c r="C73" s="764"/>
      <c r="D73" s="774"/>
      <c r="E73" s="761" t="str">
        <f>IF(C73="","",VLOOKUP(C73,Table_ingredients[],2,FALSE))</f>
        <v/>
      </c>
      <c r="F73" s="761" t="str">
        <f>IF(C73="","",VLOOKUP(C73,Table_ingredients[],3,FALSE))</f>
        <v/>
      </c>
      <c r="G73" s="761" t="str">
        <f>IF(C73="","",VLOOKUP(C73,Table_ingredients[],4,FALSE))</f>
        <v/>
      </c>
      <c r="H73" s="761" t="str">
        <f>IF(C73="","",VLOOKUP(C73,Table_ingredients[],5,FALSE))</f>
        <v/>
      </c>
      <c r="I73" s="761" t="str">
        <f>IF(C73="","",VLOOKUP(C73,Table_ingredients[],6,FALSE))</f>
        <v/>
      </c>
      <c r="J73" s="761" t="str">
        <f>IF(C73="","",VLOOKUP(C73,Table_ingredients[],7,FALSE))</f>
        <v/>
      </c>
      <c r="K73" s="761" t="str">
        <f>IF(C73="","",VLOOKUP(C73,Table_ingredients[],8,FALSE))</f>
        <v/>
      </c>
      <c r="L73" s="474" t="str">
        <f>IF(C73="","",VLOOKUP(C73,Table_ingredients[],9,FALSE))</f>
        <v/>
      </c>
      <c r="M73" s="772" t="str">
        <f>IF(C73="","",VLOOKUP(C73,Table_ingredients[],10,FALSE))</f>
        <v/>
      </c>
      <c r="N73" s="767" t="str">
        <f>IF(C73="","",VLOOKUP(C73,Table_ingredients[],12,FALSE))</f>
        <v/>
      </c>
      <c r="O73" s="472" t="str">
        <f t="shared" si="20"/>
        <v>No</v>
      </c>
      <c r="P73" s="471">
        <f t="shared" si="17"/>
        <v>0</v>
      </c>
      <c r="Q73" s="475" t="str">
        <f>IF(C73="","",VLOOKUP(C73,Table_ingredients[],13,FALSE))</f>
        <v/>
      </c>
      <c r="R73" s="471">
        <f t="shared" si="18"/>
        <v>0</v>
      </c>
      <c r="S73" s="104"/>
      <c r="T73" s="120">
        <f t="shared" si="19"/>
        <v>0</v>
      </c>
      <c r="V73" s="59" t="s">
        <v>954</v>
      </c>
      <c r="W73" s="46">
        <v>0.2</v>
      </c>
      <c r="X73" s="46">
        <v>0.1</v>
      </c>
      <c r="Y73" s="46">
        <v>0.65</v>
      </c>
      <c r="Z73" s="46">
        <v>0</v>
      </c>
      <c r="AA73" s="46">
        <v>0.05</v>
      </c>
      <c r="AB73" s="46">
        <v>0</v>
      </c>
      <c r="AC73" s="46">
        <v>0.18</v>
      </c>
      <c r="AD73" s="46">
        <v>3.2000000000000001E-2</v>
      </c>
      <c r="AE73" s="46">
        <v>0.82</v>
      </c>
      <c r="AF73" s="59" t="s">
        <v>1576</v>
      </c>
      <c r="AG73" s="59"/>
      <c r="AH73" s="59" t="s">
        <v>1635</v>
      </c>
    </row>
    <row r="74" spans="2:34" x14ac:dyDescent="0.25">
      <c r="B74" s="13" t="s">
        <v>1057</v>
      </c>
      <c r="C74" s="764"/>
      <c r="D74" s="774"/>
      <c r="E74" s="761" t="str">
        <f>IF(C74="","",VLOOKUP(C74,Table_ingredients[],2,FALSE))</f>
        <v/>
      </c>
      <c r="F74" s="761" t="str">
        <f>IF(C74="","",VLOOKUP(C74,Table_ingredients[],3,FALSE))</f>
        <v/>
      </c>
      <c r="G74" s="761" t="str">
        <f>IF(C74="","",VLOOKUP(C74,Table_ingredients[],4,FALSE))</f>
        <v/>
      </c>
      <c r="H74" s="761" t="str">
        <f>IF(C74="","",VLOOKUP(C74,Table_ingredients[],5,FALSE))</f>
        <v/>
      </c>
      <c r="I74" s="761" t="str">
        <f>IF(C74="","",VLOOKUP(C74,Table_ingredients[],6,FALSE))</f>
        <v/>
      </c>
      <c r="J74" s="761" t="str">
        <f>IF(C74="","",VLOOKUP(C74,Table_ingredients[],7,FALSE))</f>
        <v/>
      </c>
      <c r="K74" s="761" t="str">
        <f>IF(C74="","",VLOOKUP(C74,Table_ingredients[],8,FALSE))</f>
        <v/>
      </c>
      <c r="L74" s="474" t="str">
        <f>IF(C74="","",VLOOKUP(C74,Table_ingredients[],9,FALSE))</f>
        <v/>
      </c>
      <c r="M74" s="772" t="str">
        <f>IF(C74="","",VLOOKUP(C74,Table_ingredients[],10,FALSE))</f>
        <v/>
      </c>
      <c r="N74" s="767" t="str">
        <f>IF(C74="","",VLOOKUP(C74,Table_ingredients[],12,FALSE))</f>
        <v/>
      </c>
      <c r="O74" s="472" t="str">
        <f t="shared" si="20"/>
        <v>No</v>
      </c>
      <c r="P74" s="471">
        <f t="shared" si="17"/>
        <v>0</v>
      </c>
      <c r="Q74" s="475" t="str">
        <f>IF(C74="","",VLOOKUP(C74,Table_ingredients[],13,FALSE))</f>
        <v/>
      </c>
      <c r="R74" s="471">
        <f t="shared" si="18"/>
        <v>0</v>
      </c>
      <c r="S74" s="104"/>
      <c r="T74" s="120">
        <f t="shared" si="19"/>
        <v>0</v>
      </c>
      <c r="V74" s="59" t="s">
        <v>955</v>
      </c>
      <c r="W74" s="46">
        <v>0.2</v>
      </c>
      <c r="X74" s="46">
        <v>0.1</v>
      </c>
      <c r="Y74" s="46">
        <v>0.65</v>
      </c>
      <c r="Z74" s="46">
        <v>0</v>
      </c>
      <c r="AA74" s="46">
        <v>0.05</v>
      </c>
      <c r="AB74" s="46">
        <v>0</v>
      </c>
      <c r="AC74" s="46">
        <v>0.18</v>
      </c>
      <c r="AD74" s="46">
        <v>3.2000000000000001E-2</v>
      </c>
      <c r="AE74" s="46">
        <v>0.82</v>
      </c>
      <c r="AF74" s="59" t="s">
        <v>1576</v>
      </c>
      <c r="AG74" s="59"/>
      <c r="AH74" s="59" t="s">
        <v>1635</v>
      </c>
    </row>
    <row r="75" spans="2:34" x14ac:dyDescent="0.25">
      <c r="B75" s="13" t="s">
        <v>1058</v>
      </c>
      <c r="C75" s="764"/>
      <c r="D75" s="774"/>
      <c r="E75" s="761" t="str">
        <f>IF(C75="","",VLOOKUP(C75,Table_ingredients[],2,FALSE))</f>
        <v/>
      </c>
      <c r="F75" s="761" t="str">
        <f>IF(C75="","",VLOOKUP(C75,Table_ingredients[],3,FALSE))</f>
        <v/>
      </c>
      <c r="G75" s="761" t="str">
        <f>IF(C75="","",VLOOKUP(C75,Table_ingredients[],4,FALSE))</f>
        <v/>
      </c>
      <c r="H75" s="761" t="str">
        <f>IF(C75="","",VLOOKUP(C75,Table_ingredients[],5,FALSE))</f>
        <v/>
      </c>
      <c r="I75" s="761" t="str">
        <f>IF(C75="","",VLOOKUP(C75,Table_ingredients[],6,FALSE))</f>
        <v/>
      </c>
      <c r="J75" s="761" t="str">
        <f>IF(C75="","",VLOOKUP(C75,Table_ingredients[],7,FALSE))</f>
        <v/>
      </c>
      <c r="K75" s="761" t="str">
        <f>IF(C75="","",VLOOKUP(C75,Table_ingredients[],8,FALSE))</f>
        <v/>
      </c>
      <c r="L75" s="474" t="str">
        <f>IF(C75="","",VLOOKUP(C75,Table_ingredients[],9,FALSE))</f>
        <v/>
      </c>
      <c r="M75" s="772" t="str">
        <f>IF(C75="","",VLOOKUP(C75,Table_ingredients[],10,FALSE))</f>
        <v/>
      </c>
      <c r="N75" s="767" t="str">
        <f>IF(C75="","",VLOOKUP(C75,Table_ingredients[],12,FALSE))</f>
        <v/>
      </c>
      <c r="O75" s="472" t="str">
        <f t="shared" si="20"/>
        <v>No</v>
      </c>
      <c r="P75" s="471">
        <f t="shared" si="17"/>
        <v>0</v>
      </c>
      <c r="Q75" s="475" t="str">
        <f>IF(C75="","",VLOOKUP(C75,Table_ingredients[],13,FALSE))</f>
        <v/>
      </c>
      <c r="R75" s="471">
        <f t="shared" si="18"/>
        <v>0</v>
      </c>
      <c r="S75" s="104"/>
      <c r="T75" s="120">
        <f t="shared" si="19"/>
        <v>0</v>
      </c>
      <c r="V75" s="59" t="s">
        <v>1013</v>
      </c>
      <c r="W75" s="46">
        <v>0</v>
      </c>
      <c r="X75" s="46">
        <v>0</v>
      </c>
      <c r="Y75" s="46">
        <v>0</v>
      </c>
      <c r="Z75" s="46">
        <v>0</v>
      </c>
      <c r="AA75" s="46">
        <v>1</v>
      </c>
      <c r="AB75" s="46">
        <v>0</v>
      </c>
      <c r="AC75" s="46">
        <v>0</v>
      </c>
      <c r="AD75" s="46">
        <v>0</v>
      </c>
      <c r="AE75" s="46">
        <v>1</v>
      </c>
      <c r="AF75" s="59" t="s">
        <v>1576</v>
      </c>
      <c r="AG75" s="59"/>
      <c r="AH75" s="59" t="s">
        <v>1635</v>
      </c>
    </row>
    <row r="76" spans="2:34" x14ac:dyDescent="0.25">
      <c r="B76" s="13" t="s">
        <v>1059</v>
      </c>
      <c r="C76" s="764"/>
      <c r="D76" s="774"/>
      <c r="E76" s="761" t="str">
        <f>IF(C76="","",VLOOKUP(C76,Table_ingredients[],2,FALSE))</f>
        <v/>
      </c>
      <c r="F76" s="761" t="str">
        <f>IF(C76="","",VLOOKUP(C76,Table_ingredients[],3,FALSE))</f>
        <v/>
      </c>
      <c r="G76" s="761" t="str">
        <f>IF(C76="","",VLOOKUP(C76,Table_ingredients[],4,FALSE))</f>
        <v/>
      </c>
      <c r="H76" s="761" t="str">
        <f>IF(C76="","",VLOOKUP(C76,Table_ingredients[],5,FALSE))</f>
        <v/>
      </c>
      <c r="I76" s="761" t="str">
        <f>IF(C76="","",VLOOKUP(C76,Table_ingredients[],6,FALSE))</f>
        <v/>
      </c>
      <c r="J76" s="761" t="str">
        <f>IF(C76="","",VLOOKUP(C76,Table_ingredients[],7,FALSE))</f>
        <v/>
      </c>
      <c r="K76" s="761" t="str">
        <f>IF(C76="","",VLOOKUP(C76,Table_ingredients[],8,FALSE))</f>
        <v/>
      </c>
      <c r="L76" s="474" t="str">
        <f>IF(C76="","",VLOOKUP(C76,Table_ingredients[],9,FALSE))</f>
        <v/>
      </c>
      <c r="M76" s="772" t="str">
        <f>IF(C76="","",VLOOKUP(C76,Table_ingredients[],10,FALSE))</f>
        <v/>
      </c>
      <c r="N76" s="767" t="str">
        <f>IF(C76="","",VLOOKUP(C76,Table_ingredients[],12,FALSE))</f>
        <v/>
      </c>
      <c r="O76" s="472" t="str">
        <f t="shared" si="20"/>
        <v>No</v>
      </c>
      <c r="P76" s="471">
        <f t="shared" si="17"/>
        <v>0</v>
      </c>
      <c r="Q76" s="475" t="str">
        <f>IF(C76="","",VLOOKUP(C76,Table_ingredients[],13,FALSE))</f>
        <v/>
      </c>
      <c r="R76" s="471">
        <f t="shared" si="18"/>
        <v>0</v>
      </c>
      <c r="S76" s="104"/>
      <c r="T76" s="120">
        <f t="shared" si="19"/>
        <v>0</v>
      </c>
      <c r="V76" s="59" t="s">
        <v>1006</v>
      </c>
      <c r="W76" s="46">
        <v>0</v>
      </c>
      <c r="X76" s="46">
        <v>0</v>
      </c>
      <c r="Y76" s="46">
        <v>0.01</v>
      </c>
      <c r="Z76" s="46">
        <v>0</v>
      </c>
      <c r="AA76" s="46">
        <v>0.99</v>
      </c>
      <c r="AB76" s="46">
        <v>0</v>
      </c>
      <c r="AC76" s="46">
        <v>0.01</v>
      </c>
      <c r="AD76" s="46">
        <v>0</v>
      </c>
      <c r="AE76" s="46">
        <v>0.99</v>
      </c>
      <c r="AF76" s="59" t="s">
        <v>1576</v>
      </c>
      <c r="AG76" s="59"/>
      <c r="AH76" s="59" t="s">
        <v>1635</v>
      </c>
    </row>
    <row r="77" spans="2:34" x14ac:dyDescent="0.25">
      <c r="B77" s="13" t="s">
        <v>1060</v>
      </c>
      <c r="C77" s="764"/>
      <c r="D77" s="774"/>
      <c r="E77" s="761" t="str">
        <f>IF(C77="","",VLOOKUP(C77,Table_ingredients[],2,FALSE))</f>
        <v/>
      </c>
      <c r="F77" s="761" t="str">
        <f>IF(C77="","",VLOOKUP(C77,Table_ingredients[],3,FALSE))</f>
        <v/>
      </c>
      <c r="G77" s="761" t="str">
        <f>IF(C77="","",VLOOKUP(C77,Table_ingredients[],4,FALSE))</f>
        <v/>
      </c>
      <c r="H77" s="761" t="str">
        <f>IF(C77="","",VLOOKUP(C77,Table_ingredients[],5,FALSE))</f>
        <v/>
      </c>
      <c r="I77" s="761" t="str">
        <f>IF(C77="","",VLOOKUP(C77,Table_ingredients[],6,FALSE))</f>
        <v/>
      </c>
      <c r="J77" s="761" t="str">
        <f>IF(C77="","",VLOOKUP(C77,Table_ingredients[],7,FALSE))</f>
        <v/>
      </c>
      <c r="K77" s="761" t="str">
        <f>IF(C77="","",VLOOKUP(C77,Table_ingredients[],8,FALSE))</f>
        <v/>
      </c>
      <c r="L77" s="474" t="str">
        <f>IF(C77="","",VLOOKUP(C77,Table_ingredients[],9,FALSE))</f>
        <v/>
      </c>
      <c r="M77" s="772" t="str">
        <f>IF(C77="","",VLOOKUP(C77,Table_ingredients[],10,FALSE))</f>
        <v/>
      </c>
      <c r="N77" s="767" t="str">
        <f>IF(C77="","",VLOOKUP(C77,Table_ingredients[],12,FALSE))</f>
        <v/>
      </c>
      <c r="O77" s="472" t="str">
        <f t="shared" si="20"/>
        <v>No</v>
      </c>
      <c r="P77" s="471">
        <f t="shared" si="17"/>
        <v>0</v>
      </c>
      <c r="Q77" s="475" t="str">
        <f>IF(C77="","",VLOOKUP(C77,Table_ingredients[],13,FALSE))</f>
        <v/>
      </c>
      <c r="R77" s="471">
        <f t="shared" si="18"/>
        <v>0</v>
      </c>
      <c r="S77" s="104"/>
      <c r="T77" s="120">
        <f t="shared" si="19"/>
        <v>0</v>
      </c>
      <c r="V77" s="59" t="s">
        <v>692</v>
      </c>
      <c r="W77" s="46">
        <v>6.2E-2</v>
      </c>
      <c r="X77" s="46">
        <v>2.8999999999999998E-2</v>
      </c>
      <c r="Y77" s="46">
        <v>0.85499999999999987</v>
      </c>
      <c r="Z77" s="46">
        <v>0.125</v>
      </c>
      <c r="AA77" s="46">
        <v>5.4000000000000006E-2</v>
      </c>
      <c r="AB77" s="46">
        <v>2E-3</v>
      </c>
      <c r="AC77" s="46">
        <v>0.10299999999999997</v>
      </c>
      <c r="AD77" s="46">
        <v>9.92E-3</v>
      </c>
      <c r="AE77" s="46">
        <v>0.89700000000000002</v>
      </c>
      <c r="AF77" s="59" t="s">
        <v>1576</v>
      </c>
      <c r="AG77" s="59"/>
      <c r="AH77" s="59" t="s">
        <v>1635</v>
      </c>
    </row>
    <row r="78" spans="2:34" x14ac:dyDescent="0.25">
      <c r="B78" s="13" t="s">
        <v>1061</v>
      </c>
      <c r="C78" s="764"/>
      <c r="D78" s="774"/>
      <c r="E78" s="761" t="str">
        <f>IF(C78="","",VLOOKUP(C78,Table_ingredients[],2,FALSE))</f>
        <v/>
      </c>
      <c r="F78" s="761" t="str">
        <f>IF(C78="","",VLOOKUP(C78,Table_ingredients[],3,FALSE))</f>
        <v/>
      </c>
      <c r="G78" s="761" t="str">
        <f>IF(C78="","",VLOOKUP(C78,Table_ingredients[],4,FALSE))</f>
        <v/>
      </c>
      <c r="H78" s="761" t="str">
        <f>IF(C78="","",VLOOKUP(C78,Table_ingredients[],5,FALSE))</f>
        <v/>
      </c>
      <c r="I78" s="761" t="str">
        <f>IF(C78="","",VLOOKUP(C78,Table_ingredients[],6,FALSE))</f>
        <v/>
      </c>
      <c r="J78" s="761" t="str">
        <f>IF(C78="","",VLOOKUP(C78,Table_ingredients[],7,FALSE))</f>
        <v/>
      </c>
      <c r="K78" s="761" t="str">
        <f>IF(C78="","",VLOOKUP(C78,Table_ingredients[],8,FALSE))</f>
        <v/>
      </c>
      <c r="L78" s="474" t="str">
        <f>IF(C78="","",VLOOKUP(C78,Table_ingredients[],9,FALSE))</f>
        <v/>
      </c>
      <c r="M78" s="772" t="str">
        <f>IF(C78="","",VLOOKUP(C78,Table_ingredients[],10,FALSE))</f>
        <v/>
      </c>
      <c r="N78" s="767" t="str">
        <f>IF(C78="","",VLOOKUP(C78,Table_ingredients[],12,FALSE))</f>
        <v/>
      </c>
      <c r="O78" s="472" t="str">
        <f t="shared" si="20"/>
        <v>No</v>
      </c>
      <c r="P78" s="471">
        <f t="shared" si="17"/>
        <v>0</v>
      </c>
      <c r="Q78" s="475" t="str">
        <f>IF(C78="","",VLOOKUP(C78,Table_ingredients[],13,FALSE))</f>
        <v/>
      </c>
      <c r="R78" s="471">
        <f t="shared" si="18"/>
        <v>0</v>
      </c>
      <c r="S78" s="104"/>
      <c r="T78" s="120">
        <f t="shared" si="19"/>
        <v>0</v>
      </c>
      <c r="V78" s="59" t="s">
        <v>931</v>
      </c>
      <c r="W78" s="46">
        <v>0</v>
      </c>
      <c r="X78" s="46">
        <v>0.98699999999999999</v>
      </c>
      <c r="Y78" s="46">
        <v>1.2999999999999972E-2</v>
      </c>
      <c r="Z78" s="46">
        <v>0</v>
      </c>
      <c r="AA78" s="46">
        <v>0</v>
      </c>
      <c r="AB78" s="46">
        <v>0</v>
      </c>
      <c r="AC78" s="46">
        <v>0.01</v>
      </c>
      <c r="AD78" s="46">
        <v>0</v>
      </c>
      <c r="AE78" s="46">
        <v>0.99</v>
      </c>
      <c r="AF78" s="59" t="s">
        <v>1576</v>
      </c>
      <c r="AG78" s="59"/>
      <c r="AH78" s="59" t="s">
        <v>1635</v>
      </c>
    </row>
    <row r="79" spans="2:34" ht="15.75" thickBot="1" x14ac:dyDescent="0.3">
      <c r="B79" s="16" t="s">
        <v>1062</v>
      </c>
      <c r="C79" s="765"/>
      <c r="D79" s="775"/>
      <c r="E79" s="776" t="str">
        <f>IF(C79="","",VLOOKUP(C79,Table_ingredients[],2,FALSE))</f>
        <v/>
      </c>
      <c r="F79" s="776" t="str">
        <f>IF(C79="","",VLOOKUP(C79,Table_ingredients[],3,FALSE))</f>
        <v/>
      </c>
      <c r="G79" s="776" t="str">
        <f>IF(C79="","",VLOOKUP(C79,Table_ingredients[],4,FALSE))</f>
        <v/>
      </c>
      <c r="H79" s="776" t="str">
        <f>IF(C79="","",VLOOKUP(C79,Table_ingredients[],5,FALSE))</f>
        <v/>
      </c>
      <c r="I79" s="776" t="str">
        <f>IF(C79="","",VLOOKUP(C79,Table_ingredients[],6,FALSE))</f>
        <v/>
      </c>
      <c r="J79" s="776" t="str">
        <f>IF(C79="","",VLOOKUP(C79,Table_ingredients[],7,FALSE))</f>
        <v/>
      </c>
      <c r="K79" s="776" t="str">
        <f>IF(C79="","",VLOOKUP(C79,Table_ingredients[],8,FALSE))</f>
        <v/>
      </c>
      <c r="L79" s="777" t="str">
        <f>IF(C79="","",VLOOKUP(C79,Table_ingredients[],9,FALSE))</f>
        <v/>
      </c>
      <c r="M79" s="778" t="str">
        <f>IF(C79="","",VLOOKUP(C79,Table_ingredients[],10,FALSE))</f>
        <v/>
      </c>
      <c r="N79" s="767" t="str">
        <f>IF(C79="","",VLOOKUP(C79,Table_ingredients[],12,FALSE))</f>
        <v/>
      </c>
      <c r="O79" s="479" t="str">
        <f t="shared" si="20"/>
        <v>No</v>
      </c>
      <c r="P79" s="478">
        <f t="shared" si="17"/>
        <v>0</v>
      </c>
      <c r="Q79" s="475" t="str">
        <f>IF(C79="","",VLOOKUP(C79,Table_ingredients[],13,FALSE))</f>
        <v/>
      </c>
      <c r="R79" s="478">
        <f t="shared" si="18"/>
        <v>0</v>
      </c>
      <c r="S79" s="477"/>
      <c r="T79" s="120">
        <f t="shared" si="19"/>
        <v>0</v>
      </c>
      <c r="V79" s="59" t="s">
        <v>1682</v>
      </c>
      <c r="W79" s="46">
        <v>0.72499999999999998</v>
      </c>
      <c r="X79" s="46">
        <v>0.21199999999999999</v>
      </c>
      <c r="Y79" s="46">
        <v>5.3900000000000003E-2</v>
      </c>
      <c r="Z79" s="46">
        <v>0</v>
      </c>
      <c r="AA79" s="46">
        <v>9.099999999999997E-3</v>
      </c>
      <c r="AB79" s="46">
        <v>1.3900000000000001E-2</v>
      </c>
      <c r="AC79" s="46">
        <v>0.04</v>
      </c>
      <c r="AD79" s="46">
        <v>0.11599999999999999</v>
      </c>
      <c r="AE79" s="46">
        <v>0.96</v>
      </c>
      <c r="AF79" s="59" t="s">
        <v>526</v>
      </c>
      <c r="AG79" s="59"/>
      <c r="AH79" s="59" t="s">
        <v>1635</v>
      </c>
    </row>
    <row r="80" spans="2:34" ht="15.75" thickBot="1" x14ac:dyDescent="0.3">
      <c r="B80" s="26"/>
      <c r="C80" s="483" t="s">
        <v>1123</v>
      </c>
      <c r="D80" s="484">
        <f>SUM(D64:D79)</f>
        <v>0</v>
      </c>
      <c r="E80" s="759">
        <f>SUMPRODUCT($D$16:$D$31,E64:E79)</f>
        <v>0</v>
      </c>
      <c r="F80" s="759">
        <f t="shared" ref="F80:M80" si="21">SUMPRODUCT($D$16:$D$31,F64:F79)</f>
        <v>0</v>
      </c>
      <c r="G80" s="759">
        <f t="shared" si="21"/>
        <v>0</v>
      </c>
      <c r="H80" s="759">
        <f t="shared" si="21"/>
        <v>0</v>
      </c>
      <c r="I80" s="759">
        <f t="shared" si="21"/>
        <v>0</v>
      </c>
      <c r="J80" s="759">
        <f t="shared" si="21"/>
        <v>0</v>
      </c>
      <c r="K80" s="759">
        <f t="shared" si="21"/>
        <v>0</v>
      </c>
      <c r="L80" s="759">
        <f t="shared" si="21"/>
        <v>0</v>
      </c>
      <c r="M80" s="759">
        <f t="shared" si="21"/>
        <v>0</v>
      </c>
      <c r="N80" s="779"/>
      <c r="O80" s="780"/>
      <c r="P80" s="484">
        <f>SUM(P64:P79)</f>
        <v>0</v>
      </c>
      <c r="Q80" s="91"/>
      <c r="R80" s="485">
        <f>SUM(R64:R79)</f>
        <v>0</v>
      </c>
      <c r="S80" s="91"/>
      <c r="T80" s="486">
        <f>SUM(T64:T79)</f>
        <v>0</v>
      </c>
      <c r="V80" s="59" t="s">
        <v>1683</v>
      </c>
      <c r="W80" s="46">
        <v>0.8</v>
      </c>
      <c r="X80" s="46">
        <v>4.7E-2</v>
      </c>
      <c r="Y80" s="46">
        <v>7.400000000000001E-2</v>
      </c>
      <c r="Z80" s="46">
        <v>5.9999999999988058E-4</v>
      </c>
      <c r="AA80" s="46">
        <v>7.9000000000000001E-2</v>
      </c>
      <c r="AB80" s="46">
        <v>1.54E-2</v>
      </c>
      <c r="AC80" s="46">
        <v>5.7999999999999968E-2</v>
      </c>
      <c r="AD80" s="46">
        <v>0.128</v>
      </c>
      <c r="AE80" s="46">
        <v>0.94200000000000006</v>
      </c>
      <c r="AF80" s="59" t="s">
        <v>526</v>
      </c>
      <c r="AG80" s="59"/>
      <c r="AH80" s="59" t="s">
        <v>1635</v>
      </c>
    </row>
    <row r="81" spans="2:34" ht="15.75" thickBot="1" x14ac:dyDescent="0.3">
      <c r="B81" s="480"/>
      <c r="C81" s="481"/>
      <c r="D81" s="482" t="str">
        <f>IF(D80=100%,"OK","Not 100%")</f>
        <v>Not 100%</v>
      </c>
      <c r="E81" s="760"/>
      <c r="F81" s="760"/>
      <c r="G81" s="760"/>
      <c r="H81" s="760"/>
      <c r="I81" s="760"/>
      <c r="J81" s="760"/>
      <c r="K81" s="760"/>
      <c r="L81" s="846"/>
      <c r="M81" s="847"/>
      <c r="N81" s="847"/>
      <c r="O81" s="847"/>
      <c r="P81" s="847"/>
      <c r="Q81" s="847"/>
      <c r="R81" s="847"/>
      <c r="S81" s="847"/>
      <c r="T81" s="848"/>
      <c r="V81" s="59" t="s">
        <v>1001</v>
      </c>
      <c r="W81" s="46">
        <v>0.22</v>
      </c>
      <c r="X81" s="46">
        <v>5.0000000000000001E-3</v>
      </c>
      <c r="Y81" s="46">
        <v>0.51500000000000001</v>
      </c>
      <c r="Z81" s="46">
        <v>0.15</v>
      </c>
      <c r="AA81" s="46">
        <v>0.26</v>
      </c>
      <c r="AB81" s="46">
        <v>0</v>
      </c>
      <c r="AC81" s="46">
        <v>0.02</v>
      </c>
      <c r="AD81" s="46">
        <v>3.5200000000000002E-2</v>
      </c>
      <c r="AE81" s="46">
        <v>0.98</v>
      </c>
      <c r="AF81" s="59" t="s">
        <v>1576</v>
      </c>
      <c r="AG81" s="59"/>
      <c r="AH81" s="59" t="s">
        <v>1635</v>
      </c>
    </row>
    <row r="82" spans="2:34" ht="15.75" thickBot="1" x14ac:dyDescent="0.3">
      <c r="V82" s="59" t="s">
        <v>1000</v>
      </c>
      <c r="W82" s="46">
        <v>0.24</v>
      </c>
      <c r="X82" s="46">
        <v>5.0000000000000001E-3</v>
      </c>
      <c r="Y82" s="46">
        <v>0.375</v>
      </c>
      <c r="Z82" s="46">
        <v>0.1</v>
      </c>
      <c r="AA82" s="46">
        <v>0.38</v>
      </c>
      <c r="AB82" s="46">
        <v>0</v>
      </c>
      <c r="AC82" s="46">
        <v>0.02</v>
      </c>
      <c r="AD82" s="46">
        <v>3.8399999999999997E-2</v>
      </c>
      <c r="AE82" s="46">
        <v>0.98</v>
      </c>
      <c r="AF82" s="59" t="s">
        <v>1576</v>
      </c>
      <c r="AG82" s="59"/>
      <c r="AH82" s="59" t="s">
        <v>1635</v>
      </c>
    </row>
    <row r="83" spans="2:34" ht="21.75" thickBot="1" x14ac:dyDescent="0.4">
      <c r="B83" s="860" t="s">
        <v>1471</v>
      </c>
      <c r="C83" s="861"/>
      <c r="D83" s="861"/>
      <c r="E83" s="861"/>
      <c r="F83" s="862"/>
      <c r="G83" s="862"/>
      <c r="H83" s="861"/>
      <c r="I83" s="861"/>
      <c r="J83" s="861"/>
      <c r="K83" s="861"/>
      <c r="L83" s="861"/>
      <c r="M83" s="861"/>
      <c r="N83" s="861"/>
      <c r="O83" s="861"/>
      <c r="P83" s="861"/>
      <c r="Q83" s="861"/>
      <c r="R83" s="861"/>
      <c r="S83" s="861"/>
      <c r="T83" s="863"/>
      <c r="V83" s="59" t="s">
        <v>1684</v>
      </c>
      <c r="W83" s="46">
        <v>0.20499999999999999</v>
      </c>
      <c r="X83" s="46">
        <v>8.2000000000000017E-2</v>
      </c>
      <c r="Y83" s="46">
        <v>0.65099999999999991</v>
      </c>
      <c r="Z83" s="46">
        <v>0.49700000000000005</v>
      </c>
      <c r="AA83" s="46">
        <v>6.2E-2</v>
      </c>
      <c r="AB83" s="46">
        <v>5.4000000000000003E-3</v>
      </c>
      <c r="AC83" s="46">
        <v>8.8000000000000009E-2</v>
      </c>
      <c r="AD83" s="46">
        <v>3.2799999999999996E-2</v>
      </c>
      <c r="AE83" s="46">
        <v>0.91200000000000003</v>
      </c>
      <c r="AF83" s="59" t="s">
        <v>526</v>
      </c>
      <c r="AG83" s="59"/>
      <c r="AH83" s="59" t="s">
        <v>1635</v>
      </c>
    </row>
    <row r="84" spans="2:34" ht="15" customHeight="1" x14ac:dyDescent="0.25">
      <c r="B84" s="849" t="s">
        <v>1463</v>
      </c>
      <c r="C84" s="870"/>
      <c r="D84" s="873" t="s">
        <v>1193</v>
      </c>
      <c r="E84" s="875"/>
      <c r="F84" s="864" t="s">
        <v>1192</v>
      </c>
      <c r="G84" s="867"/>
      <c r="H84" s="877" t="s">
        <v>1188</v>
      </c>
      <c r="I84" s="491" t="s">
        <v>1464</v>
      </c>
      <c r="J84" s="495"/>
      <c r="K84" s="849" t="s">
        <v>1467</v>
      </c>
      <c r="L84" s="856" t="s">
        <v>1464</v>
      </c>
      <c r="M84" s="852"/>
      <c r="N84" s="853"/>
      <c r="O84" s="880"/>
      <c r="P84" s="881"/>
      <c r="Q84" s="881"/>
      <c r="R84" s="881"/>
      <c r="S84" s="881"/>
      <c r="T84" s="882"/>
      <c r="V84" s="59" t="s">
        <v>693</v>
      </c>
      <c r="W84" s="46">
        <v>0.22600000000000001</v>
      </c>
      <c r="X84" s="46">
        <v>9.8000000000000004E-2</v>
      </c>
      <c r="Y84" s="46">
        <v>0.6080000000000001</v>
      </c>
      <c r="Z84" s="46">
        <v>0.14199999999999999</v>
      </c>
      <c r="AA84" s="46">
        <v>6.8000000000000005E-2</v>
      </c>
      <c r="AB84" s="46">
        <v>5.3E-3</v>
      </c>
      <c r="AC84" s="46">
        <v>8.0999999999999947E-2</v>
      </c>
      <c r="AD84" s="46">
        <v>3.6159999999999998E-2</v>
      </c>
      <c r="AE84" s="46">
        <v>0.91900000000000004</v>
      </c>
      <c r="AF84" s="59" t="s">
        <v>1576</v>
      </c>
      <c r="AG84" s="59"/>
      <c r="AH84" s="59" t="s">
        <v>1635</v>
      </c>
    </row>
    <row r="85" spans="2:34" x14ac:dyDescent="0.25">
      <c r="B85" s="850"/>
      <c r="C85" s="871"/>
      <c r="D85" s="874"/>
      <c r="E85" s="876"/>
      <c r="F85" s="865"/>
      <c r="G85" s="868"/>
      <c r="H85" s="878"/>
      <c r="I85" s="489" t="s">
        <v>1465</v>
      </c>
      <c r="J85" s="496"/>
      <c r="K85" s="850"/>
      <c r="L85" s="857"/>
      <c r="M85" s="854"/>
      <c r="N85" s="855"/>
      <c r="O85" s="883"/>
      <c r="P85" s="884"/>
      <c r="Q85" s="884"/>
      <c r="R85" s="884"/>
      <c r="S85" s="884"/>
      <c r="T85" s="885"/>
      <c r="V85" s="59" t="s">
        <v>694</v>
      </c>
      <c r="W85" s="46">
        <v>0.21</v>
      </c>
      <c r="X85" s="46">
        <v>9.6000000000000002E-2</v>
      </c>
      <c r="Y85" s="46">
        <v>0.62400000000000011</v>
      </c>
      <c r="Z85" s="46">
        <v>0.13</v>
      </c>
      <c r="AA85" s="46">
        <v>7.0000000000000007E-2</v>
      </c>
      <c r="AB85" s="46">
        <v>4.8999999999999998E-3</v>
      </c>
      <c r="AC85" s="46">
        <v>7.0999999999999938E-2</v>
      </c>
      <c r="AD85" s="46">
        <v>3.3599999999999998E-2</v>
      </c>
      <c r="AE85" s="46">
        <v>0.92900000000000005</v>
      </c>
      <c r="AF85" s="59" t="s">
        <v>1576</v>
      </c>
      <c r="AG85" s="59"/>
      <c r="AH85" s="59" t="s">
        <v>1635</v>
      </c>
    </row>
    <row r="86" spans="2:34" ht="15.75" thickBot="1" x14ac:dyDescent="0.3">
      <c r="B86" s="851"/>
      <c r="C86" s="872"/>
      <c r="D86" s="874"/>
      <c r="E86" s="876"/>
      <c r="F86" s="866"/>
      <c r="G86" s="869"/>
      <c r="H86" s="879"/>
      <c r="I86" s="490" t="s">
        <v>1466</v>
      </c>
      <c r="J86" s="497"/>
      <c r="K86" s="851"/>
      <c r="L86" s="490" t="s">
        <v>1468</v>
      </c>
      <c r="M86" s="858"/>
      <c r="N86" s="859"/>
      <c r="O86" s="886"/>
      <c r="P86" s="887"/>
      <c r="Q86" s="887"/>
      <c r="R86" s="887"/>
      <c r="S86" s="887"/>
      <c r="T86" s="888"/>
      <c r="V86" s="59" t="s">
        <v>1685</v>
      </c>
      <c r="W86" s="46">
        <v>8.1000000000000003E-2</v>
      </c>
      <c r="X86" s="46">
        <v>3.7000000000000005E-2</v>
      </c>
      <c r="Y86" s="46">
        <v>0.87</v>
      </c>
      <c r="Z86" s="46">
        <v>9.0400000000000064E-2</v>
      </c>
      <c r="AA86" s="46">
        <v>1.2E-2</v>
      </c>
      <c r="AB86" s="46">
        <v>2.5999999999999999E-3</v>
      </c>
      <c r="AC86" s="46">
        <v>0.13599999999999995</v>
      </c>
      <c r="AD86" s="46">
        <v>1.2960000000000001E-2</v>
      </c>
      <c r="AE86" s="46">
        <v>0.8640000000000001</v>
      </c>
      <c r="AF86" s="59" t="s">
        <v>526</v>
      </c>
      <c r="AG86" s="59"/>
      <c r="AH86" s="59" t="s">
        <v>1635</v>
      </c>
    </row>
    <row r="87" spans="2:34" ht="45.75" thickBot="1" x14ac:dyDescent="0.3">
      <c r="B87" s="488"/>
      <c r="C87" s="762" t="s">
        <v>511</v>
      </c>
      <c r="D87" s="768" t="s">
        <v>512</v>
      </c>
      <c r="E87" s="769" t="s">
        <v>1479</v>
      </c>
      <c r="F87" s="492" t="s">
        <v>1571</v>
      </c>
      <c r="G87" s="492" t="s">
        <v>1636</v>
      </c>
      <c r="H87" s="769" t="s">
        <v>1573</v>
      </c>
      <c r="I87" s="769" t="s">
        <v>1574</v>
      </c>
      <c r="J87" s="769" t="s">
        <v>1090</v>
      </c>
      <c r="K87" s="769" t="s">
        <v>1575</v>
      </c>
      <c r="L87" s="769" t="s">
        <v>1041</v>
      </c>
      <c r="M87" s="770" t="s">
        <v>1046</v>
      </c>
      <c r="N87" s="766" t="s">
        <v>1063</v>
      </c>
      <c r="O87" s="492" t="s">
        <v>1067</v>
      </c>
      <c r="P87" s="492" t="s">
        <v>1066</v>
      </c>
      <c r="Q87" s="492" t="s">
        <v>519</v>
      </c>
      <c r="R87" s="492"/>
      <c r="S87" s="493" t="s">
        <v>1189</v>
      </c>
      <c r="T87" s="494" t="s">
        <v>1190</v>
      </c>
      <c r="V87" s="59" t="s">
        <v>709</v>
      </c>
      <c r="W87" s="46">
        <v>0.09</v>
      </c>
      <c r="X87" s="46">
        <v>0.04</v>
      </c>
      <c r="Y87" s="46">
        <v>0.86</v>
      </c>
      <c r="Z87" s="46">
        <v>0.02</v>
      </c>
      <c r="AA87" s="46">
        <v>0.01</v>
      </c>
      <c r="AB87" s="46">
        <v>2.5999999999999999E-3</v>
      </c>
      <c r="AC87" s="46">
        <v>0.1</v>
      </c>
      <c r="AD87" s="46">
        <v>1.44E-2</v>
      </c>
      <c r="AE87" s="46">
        <v>0.9</v>
      </c>
      <c r="AF87" s="59" t="s">
        <v>1576</v>
      </c>
      <c r="AG87" s="59"/>
      <c r="AH87" s="59" t="s">
        <v>1635</v>
      </c>
    </row>
    <row r="88" spans="2:34" x14ac:dyDescent="0.25">
      <c r="B88" s="21" t="s">
        <v>513</v>
      </c>
      <c r="C88" s="763"/>
      <c r="D88" s="771"/>
      <c r="E88" s="761" t="str">
        <f>IF(C88="","",VLOOKUP(C88,Table_ingredients[],2,FALSE))</f>
        <v/>
      </c>
      <c r="F88" s="761" t="str">
        <f>IF(C88="","",VLOOKUP(C88,Table_ingredients[],3,FALSE))</f>
        <v/>
      </c>
      <c r="G88" s="761" t="str">
        <f>IF(C88="","",VLOOKUP(C88,Table_ingredients[],4,FALSE))</f>
        <v/>
      </c>
      <c r="H88" s="761" t="str">
        <f>IF(C88="","",VLOOKUP(C88,Table_ingredients[],5,FALSE))</f>
        <v/>
      </c>
      <c r="I88" s="761" t="str">
        <f>IF(C88="","",VLOOKUP(C88,Table_ingredients[],6,FALSE))</f>
        <v/>
      </c>
      <c r="J88" s="761" t="str">
        <f>IF(C88="","",VLOOKUP(C88,Table_ingredients[],7,FALSE))</f>
        <v/>
      </c>
      <c r="K88" s="761" t="str">
        <f>IF(C88="","",VLOOKUP(C88,Table_ingredients[],8,FALSE))</f>
        <v/>
      </c>
      <c r="L88" s="474" t="str">
        <f>IF(C88="","",VLOOKUP(C88,Table_ingredients[],9,FALSE))</f>
        <v/>
      </c>
      <c r="M88" s="772" t="str">
        <f>IF(C88="","",VLOOKUP(C88,Table_ingredients[],10,FALSE))</f>
        <v/>
      </c>
      <c r="N88" s="767" t="str">
        <f>IF(C88="","",VLOOKUP(C88,Table_ingredients[],12,FALSE))</f>
        <v/>
      </c>
      <c r="O88" s="476" t="str">
        <f>IF(N88=$C$3,"Yes","No")</f>
        <v>No</v>
      </c>
      <c r="P88" s="474">
        <f t="shared" ref="P88:P103" si="22">IF(O88="Yes",D88,0)</f>
        <v>0</v>
      </c>
      <c r="Q88" s="475" t="str">
        <f>IF(C88="","",VLOOKUP(C88,Table_ingredients[],13,FALSE))</f>
        <v/>
      </c>
      <c r="R88" s="474">
        <f t="shared" ref="R88:R103" si="23">IF(Q88="Yes",D88,0)</f>
        <v>0</v>
      </c>
      <c r="S88" s="109"/>
      <c r="T88" s="120">
        <f t="shared" ref="T88:T103" si="24">S88*D88*$C$12</f>
        <v>0</v>
      </c>
      <c r="V88" s="59" t="s">
        <v>1686</v>
      </c>
      <c r="W88" s="46">
        <v>0.09</v>
      </c>
      <c r="X88" s="46">
        <v>4.2000000000000003E-2</v>
      </c>
      <c r="Y88" s="46">
        <v>0.85199999999999998</v>
      </c>
      <c r="Z88" s="46">
        <v>0.10430000000000007</v>
      </c>
      <c r="AA88" s="46">
        <v>1.6E-2</v>
      </c>
      <c r="AB88" s="46">
        <v>2.7000000000000001E-3</v>
      </c>
      <c r="AC88" s="46">
        <v>0.14000000000000001</v>
      </c>
      <c r="AD88" s="46">
        <v>1.44E-2</v>
      </c>
      <c r="AE88" s="46">
        <v>0.86</v>
      </c>
      <c r="AF88" s="59" t="s">
        <v>526</v>
      </c>
      <c r="AG88" s="59"/>
      <c r="AH88" s="59" t="s">
        <v>1635</v>
      </c>
    </row>
    <row r="89" spans="2:34" x14ac:dyDescent="0.25">
      <c r="B89" s="13" t="s">
        <v>514</v>
      </c>
      <c r="C89" s="764"/>
      <c r="D89" s="773"/>
      <c r="E89" s="761" t="str">
        <f>IF(C89="","",VLOOKUP(C89,Table_ingredients[],2,FALSE))</f>
        <v/>
      </c>
      <c r="F89" s="761" t="str">
        <f>IF(C89="","",VLOOKUP(C89,Table_ingredients[],3,FALSE))</f>
        <v/>
      </c>
      <c r="G89" s="761" t="str">
        <f>IF(C89="","",VLOOKUP(C89,Table_ingredients[],4,FALSE))</f>
        <v/>
      </c>
      <c r="H89" s="761" t="str">
        <f>IF(C89="","",VLOOKUP(C89,Table_ingredients[],5,FALSE))</f>
        <v/>
      </c>
      <c r="I89" s="761" t="str">
        <f>IF(C89="","",VLOOKUP(C89,Table_ingredients[],6,FALSE))</f>
        <v/>
      </c>
      <c r="J89" s="761" t="str">
        <f>IF(C89="","",VLOOKUP(C89,Table_ingredients[],7,FALSE))</f>
        <v/>
      </c>
      <c r="K89" s="761" t="str">
        <f>IF(C89="","",VLOOKUP(C89,Table_ingredients[],8,FALSE))</f>
        <v/>
      </c>
      <c r="L89" s="474" t="str">
        <f>IF(C89="","",VLOOKUP(C89,Table_ingredients[],9,FALSE))</f>
        <v/>
      </c>
      <c r="M89" s="772" t="str">
        <f>IF(C89="","",VLOOKUP(C89,Table_ingredients[],10,FALSE))</f>
        <v/>
      </c>
      <c r="N89" s="767" t="str">
        <f>IF(C89="","",VLOOKUP(C89,Table_ingredients[],12,FALSE))</f>
        <v/>
      </c>
      <c r="O89" s="472" t="str">
        <f t="shared" ref="O89:O103" si="25">IF(N89=$C$3,"Yes","No")</f>
        <v>No</v>
      </c>
      <c r="P89" s="471">
        <f t="shared" si="22"/>
        <v>0</v>
      </c>
      <c r="Q89" s="475" t="str">
        <f>IF(C89="","",VLOOKUP(C89,Table_ingredients[],13,FALSE))</f>
        <v/>
      </c>
      <c r="R89" s="471">
        <f t="shared" si="23"/>
        <v>0</v>
      </c>
      <c r="S89" s="104"/>
      <c r="T89" s="120">
        <f t="shared" si="24"/>
        <v>0</v>
      </c>
      <c r="V89" s="59" t="s">
        <v>695</v>
      </c>
      <c r="W89" s="46">
        <v>0.13500000000000001</v>
      </c>
      <c r="X89" s="46">
        <v>0.11800000000000001</v>
      </c>
      <c r="Y89" s="46">
        <v>0.69600000000000006</v>
      </c>
      <c r="Z89" s="46">
        <v>5.7999999999999996E-2</v>
      </c>
      <c r="AA89" s="46">
        <v>5.0999999999999997E-2</v>
      </c>
      <c r="AB89" s="46">
        <v>9.300000000000001E-3</v>
      </c>
      <c r="AC89" s="46">
        <v>8.2000000000000031E-2</v>
      </c>
      <c r="AD89" s="46">
        <v>2.1600000000000001E-2</v>
      </c>
      <c r="AE89" s="46">
        <v>0.91799999999999993</v>
      </c>
      <c r="AF89" s="59" t="s">
        <v>1576</v>
      </c>
      <c r="AG89" s="59"/>
      <c r="AH89" s="59" t="s">
        <v>1635</v>
      </c>
    </row>
    <row r="90" spans="2:34" x14ac:dyDescent="0.25">
      <c r="B90" s="13" t="s">
        <v>515</v>
      </c>
      <c r="C90" s="764"/>
      <c r="D90" s="773"/>
      <c r="E90" s="761" t="str">
        <f>IF(C90="","",VLOOKUP(C90,Table_ingredients[],2,FALSE))</f>
        <v/>
      </c>
      <c r="F90" s="761" t="str">
        <f>IF(C90="","",VLOOKUP(C90,Table_ingredients[],3,FALSE))</f>
        <v/>
      </c>
      <c r="G90" s="761" t="str">
        <f>IF(C90="","",VLOOKUP(C90,Table_ingredients[],4,FALSE))</f>
        <v/>
      </c>
      <c r="H90" s="761" t="str">
        <f>IF(C90="","",VLOOKUP(C90,Table_ingredients[],5,FALSE))</f>
        <v/>
      </c>
      <c r="I90" s="761" t="str">
        <f>IF(C90="","",VLOOKUP(C90,Table_ingredients[],6,FALSE))</f>
        <v/>
      </c>
      <c r="J90" s="761" t="str">
        <f>IF(C90="","",VLOOKUP(C90,Table_ingredients[],7,FALSE))</f>
        <v/>
      </c>
      <c r="K90" s="761" t="str">
        <f>IF(C90="","",VLOOKUP(C90,Table_ingredients[],8,FALSE))</f>
        <v/>
      </c>
      <c r="L90" s="474" t="str">
        <f>IF(C90="","",VLOOKUP(C90,Table_ingredients[],9,FALSE))</f>
        <v/>
      </c>
      <c r="M90" s="772" t="str">
        <f>IF(C90="","",VLOOKUP(C90,Table_ingredients[],10,FALSE))</f>
        <v/>
      </c>
      <c r="N90" s="767" t="str">
        <f>IF(C90="","",VLOOKUP(C90,Table_ingredients[],12,FALSE))</f>
        <v/>
      </c>
      <c r="O90" s="472" t="str">
        <f t="shared" si="25"/>
        <v>No</v>
      </c>
      <c r="P90" s="471">
        <f t="shared" si="22"/>
        <v>0</v>
      </c>
      <c r="Q90" s="475" t="str">
        <f>IF(C90="","",VLOOKUP(C90,Table_ingredients[],13,FALSE))</f>
        <v/>
      </c>
      <c r="R90" s="471">
        <f t="shared" si="23"/>
        <v>0</v>
      </c>
      <c r="S90" s="104"/>
      <c r="T90" s="120">
        <f t="shared" si="24"/>
        <v>0</v>
      </c>
      <c r="V90" s="59" t="s">
        <v>697</v>
      </c>
      <c r="W90" s="46">
        <v>0.47399999999999998</v>
      </c>
      <c r="X90" s="46">
        <v>8.5000000000000006E-2</v>
      </c>
      <c r="Y90" s="46">
        <v>0.43300000000000005</v>
      </c>
      <c r="Z90" s="46">
        <v>6.4000000000000001E-2</v>
      </c>
      <c r="AA90" s="46">
        <v>8.0000000000000002E-3</v>
      </c>
      <c r="AB90" s="46">
        <v>5.5000000000000005E-3</v>
      </c>
      <c r="AC90" s="46">
        <v>4.4999999999999998E-2</v>
      </c>
      <c r="AD90" s="46">
        <v>7.5839999999999991E-2</v>
      </c>
      <c r="AE90" s="46">
        <v>0.95499999999999996</v>
      </c>
      <c r="AF90" s="59" t="s">
        <v>1576</v>
      </c>
      <c r="AG90" s="59"/>
      <c r="AH90" s="59" t="s">
        <v>1635</v>
      </c>
    </row>
    <row r="91" spans="2:34" x14ac:dyDescent="0.25">
      <c r="B91" s="13" t="s">
        <v>516</v>
      </c>
      <c r="C91" s="764"/>
      <c r="D91" s="773"/>
      <c r="E91" s="761" t="str">
        <f>IF(C91="","",VLOOKUP(C91,Table_ingredients[],2,FALSE))</f>
        <v/>
      </c>
      <c r="F91" s="761" t="str">
        <f>IF(C91="","",VLOOKUP(C91,Table_ingredients[],3,FALSE))</f>
        <v/>
      </c>
      <c r="G91" s="761" t="str">
        <f>IF(C91="","",VLOOKUP(C91,Table_ingredients[],4,FALSE))</f>
        <v/>
      </c>
      <c r="H91" s="761" t="str">
        <f>IF(C91="","",VLOOKUP(C91,Table_ingredients[],5,FALSE))</f>
        <v/>
      </c>
      <c r="I91" s="761" t="str">
        <f>IF(C91="","",VLOOKUP(C91,Table_ingredients[],6,FALSE))</f>
        <v/>
      </c>
      <c r="J91" s="761" t="str">
        <f>IF(C91="","",VLOOKUP(C91,Table_ingredients[],7,FALSE))</f>
        <v/>
      </c>
      <c r="K91" s="761" t="str">
        <f>IF(C91="","",VLOOKUP(C91,Table_ingredients[],8,FALSE))</f>
        <v/>
      </c>
      <c r="L91" s="474" t="str">
        <f>IF(C91="","",VLOOKUP(C91,Table_ingredients[],9,FALSE))</f>
        <v/>
      </c>
      <c r="M91" s="772" t="str">
        <f>IF(C91="","",VLOOKUP(C91,Table_ingredients[],10,FALSE))</f>
        <v/>
      </c>
      <c r="N91" s="767" t="str">
        <f>IF(C91="","",VLOOKUP(C91,Table_ingredients[],12,FALSE))</f>
        <v/>
      </c>
      <c r="O91" s="472" t="str">
        <f t="shared" si="25"/>
        <v>No</v>
      </c>
      <c r="P91" s="471">
        <f t="shared" si="22"/>
        <v>0</v>
      </c>
      <c r="Q91" s="475" t="str">
        <f>IF(C91="","",VLOOKUP(C91,Table_ingredients[],13,FALSE))</f>
        <v/>
      </c>
      <c r="R91" s="471">
        <f t="shared" si="23"/>
        <v>0</v>
      </c>
      <c r="S91" s="104"/>
      <c r="T91" s="120">
        <f t="shared" si="24"/>
        <v>0</v>
      </c>
      <c r="V91" s="59" t="s">
        <v>696</v>
      </c>
      <c r="W91" s="46">
        <v>0.22399999999999998</v>
      </c>
      <c r="X91" s="46">
        <v>1.9E-2</v>
      </c>
      <c r="Y91" s="46">
        <v>0.71799999999999986</v>
      </c>
      <c r="Z91" s="46">
        <v>9.8000000000000004E-2</v>
      </c>
      <c r="AA91" s="46">
        <v>3.9E-2</v>
      </c>
      <c r="AB91" s="46">
        <v>5.0000000000000001E-3</v>
      </c>
      <c r="AC91" s="46">
        <v>0.10299999999999997</v>
      </c>
      <c r="AD91" s="46">
        <v>3.5839999999999997E-2</v>
      </c>
      <c r="AE91" s="46">
        <v>0.89700000000000002</v>
      </c>
      <c r="AF91" s="59" t="s">
        <v>1576</v>
      </c>
      <c r="AG91" s="59"/>
      <c r="AH91" s="59" t="s">
        <v>1635</v>
      </c>
    </row>
    <row r="92" spans="2:34" x14ac:dyDescent="0.25">
      <c r="B92" s="13" t="s">
        <v>517</v>
      </c>
      <c r="C92" s="764"/>
      <c r="D92" s="773"/>
      <c r="E92" s="761" t="str">
        <f>IF(C92="","",VLOOKUP(C92,Table_ingredients[],2,FALSE))</f>
        <v/>
      </c>
      <c r="F92" s="761" t="str">
        <f>IF(C92="","",VLOOKUP(C92,Table_ingredients[],3,FALSE))</f>
        <v/>
      </c>
      <c r="G92" s="761" t="str">
        <f>IF(C92="","",VLOOKUP(C92,Table_ingredients[],4,FALSE))</f>
        <v/>
      </c>
      <c r="H92" s="761" t="str">
        <f>IF(C92="","",VLOOKUP(C92,Table_ingredients[],5,FALSE))</f>
        <v/>
      </c>
      <c r="I92" s="761" t="str">
        <f>IF(C92="","",VLOOKUP(C92,Table_ingredients[],6,FALSE))</f>
        <v/>
      </c>
      <c r="J92" s="761" t="str">
        <f>IF(C92="","",VLOOKUP(C92,Table_ingredients[],7,FALSE))</f>
        <v/>
      </c>
      <c r="K92" s="761" t="str">
        <f>IF(C92="","",VLOOKUP(C92,Table_ingredients[],8,FALSE))</f>
        <v/>
      </c>
      <c r="L92" s="474" t="str">
        <f>IF(C92="","",VLOOKUP(C92,Table_ingredients[],9,FALSE))</f>
        <v/>
      </c>
      <c r="M92" s="772" t="str">
        <f>IF(C92="","",VLOOKUP(C92,Table_ingredients[],10,FALSE))</f>
        <v/>
      </c>
      <c r="N92" s="767" t="str">
        <f>IF(C92="","",VLOOKUP(C92,Table_ingredients[],12,FALSE))</f>
        <v/>
      </c>
      <c r="O92" s="472" t="str">
        <f t="shared" si="25"/>
        <v>No</v>
      </c>
      <c r="P92" s="471">
        <f t="shared" si="22"/>
        <v>0</v>
      </c>
      <c r="Q92" s="475" t="str">
        <f>IF(C92="","",VLOOKUP(C92,Table_ingredients[],13,FALSE))</f>
        <v/>
      </c>
      <c r="R92" s="471">
        <f t="shared" si="23"/>
        <v>0</v>
      </c>
      <c r="S92" s="104"/>
      <c r="T92" s="120">
        <f t="shared" si="24"/>
        <v>0</v>
      </c>
      <c r="V92" s="59" t="s">
        <v>1687</v>
      </c>
      <c r="W92" s="46">
        <v>0.6</v>
      </c>
      <c r="X92" s="46">
        <v>2.7999999999999997E-2</v>
      </c>
      <c r="Y92" s="46">
        <v>0.34400000000000008</v>
      </c>
      <c r="Z92" s="46">
        <v>0.2397</v>
      </c>
      <c r="AA92" s="46">
        <v>2.7999999999999997E-2</v>
      </c>
      <c r="AB92" s="46">
        <v>4.3E-3</v>
      </c>
      <c r="AC92" s="46">
        <v>0.1</v>
      </c>
      <c r="AD92" s="46">
        <v>9.6000000000000002E-2</v>
      </c>
      <c r="AE92" s="46">
        <v>0.9</v>
      </c>
      <c r="AF92" s="59" t="s">
        <v>526</v>
      </c>
      <c r="AG92" s="59"/>
      <c r="AH92" s="59" t="s">
        <v>1635</v>
      </c>
    </row>
    <row r="93" spans="2:34" x14ac:dyDescent="0.25">
      <c r="B93" s="13" t="s">
        <v>518</v>
      </c>
      <c r="C93" s="764"/>
      <c r="D93" s="773"/>
      <c r="E93" s="761" t="str">
        <f>IF(C93="","",VLOOKUP(C93,Table_ingredients[],2,FALSE))</f>
        <v/>
      </c>
      <c r="F93" s="761" t="str">
        <f>IF(C93="","",VLOOKUP(C93,Table_ingredients[],3,FALSE))</f>
        <v/>
      </c>
      <c r="G93" s="761" t="str">
        <f>IF(C93="","",VLOOKUP(C93,Table_ingredients[],4,FALSE))</f>
        <v/>
      </c>
      <c r="H93" s="761" t="str">
        <f>IF(C93="","",VLOOKUP(C93,Table_ingredients[],5,FALSE))</f>
        <v/>
      </c>
      <c r="I93" s="761" t="str">
        <f>IF(C93="","",VLOOKUP(C93,Table_ingredients[],6,FALSE))</f>
        <v/>
      </c>
      <c r="J93" s="761" t="str">
        <f>IF(C93="","",VLOOKUP(C93,Table_ingredients[],7,FALSE))</f>
        <v/>
      </c>
      <c r="K93" s="761" t="str">
        <f>IF(C93="","",VLOOKUP(C93,Table_ingredients[],8,FALSE))</f>
        <v/>
      </c>
      <c r="L93" s="474" t="str">
        <f>IF(C93="","",VLOOKUP(C93,Table_ingredients[],9,FALSE))</f>
        <v/>
      </c>
      <c r="M93" s="772" t="str">
        <f>IF(C93="","",VLOOKUP(C93,Table_ingredients[],10,FALSE))</f>
        <v/>
      </c>
      <c r="N93" s="767" t="str">
        <f>IF(C93="","",VLOOKUP(C93,Table_ingredients[],12,FALSE))</f>
        <v/>
      </c>
      <c r="O93" s="472" t="str">
        <f t="shared" si="25"/>
        <v>No</v>
      </c>
      <c r="P93" s="471">
        <f t="shared" si="22"/>
        <v>0</v>
      </c>
      <c r="Q93" s="475" t="str">
        <f>IF(C93="","",VLOOKUP(C93,Table_ingredients[],13,FALSE))</f>
        <v/>
      </c>
      <c r="R93" s="471">
        <f t="shared" si="23"/>
        <v>0</v>
      </c>
      <c r="S93" s="104"/>
      <c r="T93" s="120">
        <f t="shared" si="24"/>
        <v>0</v>
      </c>
      <c r="V93" s="59" t="s">
        <v>1688</v>
      </c>
      <c r="W93" s="46">
        <v>0.6</v>
      </c>
      <c r="X93" s="46">
        <v>2.7999999999999997E-2</v>
      </c>
      <c r="Y93" s="46">
        <v>0.34400000000000008</v>
      </c>
      <c r="Z93" s="46">
        <v>0.2397</v>
      </c>
      <c r="AA93" s="46">
        <v>2.7999999999999997E-2</v>
      </c>
      <c r="AB93" s="46">
        <v>4.3E-3</v>
      </c>
      <c r="AC93" s="46">
        <v>0.1</v>
      </c>
      <c r="AD93" s="46">
        <v>9.6000000000000002E-2</v>
      </c>
      <c r="AE93" s="46">
        <v>0.9</v>
      </c>
      <c r="AF93" s="59" t="s">
        <v>526</v>
      </c>
      <c r="AG93" s="59"/>
      <c r="AH93" s="59" t="s">
        <v>1635</v>
      </c>
    </row>
    <row r="94" spans="2:34" x14ac:dyDescent="0.25">
      <c r="B94" s="13" t="s">
        <v>520</v>
      </c>
      <c r="C94" s="764"/>
      <c r="D94" s="773"/>
      <c r="E94" s="761" t="str">
        <f>IF(C94="","",VLOOKUP(C94,Table_ingredients[],2,FALSE))</f>
        <v/>
      </c>
      <c r="F94" s="761" t="str">
        <f>IF(C94="","",VLOOKUP(C94,Table_ingredients[],3,FALSE))</f>
        <v/>
      </c>
      <c r="G94" s="761" t="str">
        <f>IF(C94="","",VLOOKUP(C94,Table_ingredients[],4,FALSE))</f>
        <v/>
      </c>
      <c r="H94" s="761" t="str">
        <f>IF(C94="","",VLOOKUP(C94,Table_ingredients[],5,FALSE))</f>
        <v/>
      </c>
      <c r="I94" s="761" t="str">
        <f>IF(C94="","",VLOOKUP(C94,Table_ingredients[],6,FALSE))</f>
        <v/>
      </c>
      <c r="J94" s="761" t="str">
        <f>IF(C94="","",VLOOKUP(C94,Table_ingredients[],7,FALSE))</f>
        <v/>
      </c>
      <c r="K94" s="761" t="str">
        <f>IF(C94="","",VLOOKUP(C94,Table_ingredients[],8,FALSE))</f>
        <v/>
      </c>
      <c r="L94" s="474" t="str">
        <f>IF(C94="","",VLOOKUP(C94,Table_ingredients[],9,FALSE))</f>
        <v/>
      </c>
      <c r="M94" s="772" t="str">
        <f>IF(C94="","",VLOOKUP(C94,Table_ingredients[],10,FALSE))</f>
        <v/>
      </c>
      <c r="N94" s="767" t="str">
        <f>IF(C94="","",VLOOKUP(C94,Table_ingredients[],12,FALSE))</f>
        <v/>
      </c>
      <c r="O94" s="472" t="str">
        <f t="shared" si="25"/>
        <v>No</v>
      </c>
      <c r="P94" s="471">
        <f t="shared" si="22"/>
        <v>0</v>
      </c>
      <c r="Q94" s="475" t="str">
        <f>IF(C94="","",VLOOKUP(C94,Table_ingredients[],13,FALSE))</f>
        <v/>
      </c>
      <c r="R94" s="471">
        <f t="shared" si="23"/>
        <v>0</v>
      </c>
      <c r="S94" s="104"/>
      <c r="T94" s="120">
        <f t="shared" si="24"/>
        <v>0</v>
      </c>
      <c r="V94" s="59" t="s">
        <v>1689</v>
      </c>
      <c r="W94" s="46">
        <v>0.193</v>
      </c>
      <c r="X94" s="46">
        <v>2.7000000000000003E-2</v>
      </c>
      <c r="Y94" s="46">
        <v>0.71900000000000008</v>
      </c>
      <c r="Z94" s="46">
        <v>0.41009999999999996</v>
      </c>
      <c r="AA94" s="46">
        <v>6.0999999999999999E-2</v>
      </c>
      <c r="AB94" s="46">
        <v>8.8999999999999999E-3</v>
      </c>
      <c r="AC94" s="46">
        <v>0.12</v>
      </c>
      <c r="AD94" s="46">
        <v>3.0880000000000001E-2</v>
      </c>
      <c r="AE94" s="46">
        <v>0.88</v>
      </c>
      <c r="AF94" s="59" t="s">
        <v>526</v>
      </c>
      <c r="AG94" s="59"/>
      <c r="AH94" s="59" t="s">
        <v>1635</v>
      </c>
    </row>
    <row r="95" spans="2:34" x14ac:dyDescent="0.25">
      <c r="B95" s="13" t="s">
        <v>521</v>
      </c>
      <c r="C95" s="764"/>
      <c r="D95" s="774"/>
      <c r="E95" s="761" t="str">
        <f>IF(C95="","",VLOOKUP(C95,Table_ingredients[],2,FALSE))</f>
        <v/>
      </c>
      <c r="F95" s="761" t="str">
        <f>IF(C95="","",VLOOKUP(C95,Table_ingredients[],3,FALSE))</f>
        <v/>
      </c>
      <c r="G95" s="761" t="str">
        <f>IF(C95="","",VLOOKUP(C95,Table_ingredients[],4,FALSE))</f>
        <v/>
      </c>
      <c r="H95" s="761" t="str">
        <f>IF(C95="","",VLOOKUP(C95,Table_ingredients[],5,FALSE))</f>
        <v/>
      </c>
      <c r="I95" s="761" t="str">
        <f>IF(C95="","",VLOOKUP(C95,Table_ingredients[],6,FALSE))</f>
        <v/>
      </c>
      <c r="J95" s="761" t="str">
        <f>IF(C95="","",VLOOKUP(C95,Table_ingredients[],7,FALSE))</f>
        <v/>
      </c>
      <c r="K95" s="761" t="str">
        <f>IF(C95="","",VLOOKUP(C95,Table_ingredients[],8,FALSE))</f>
        <v/>
      </c>
      <c r="L95" s="474" t="str">
        <f>IF(C95="","",VLOOKUP(C95,Table_ingredients[],9,FALSE))</f>
        <v/>
      </c>
      <c r="M95" s="772" t="str">
        <f>IF(C95="","",VLOOKUP(C95,Table_ingredients[],10,FALSE))</f>
        <v/>
      </c>
      <c r="N95" s="767" t="str">
        <f>IF(C95="","",VLOOKUP(C95,Table_ingredients[],12,FALSE))</f>
        <v/>
      </c>
      <c r="O95" s="472" t="str">
        <f t="shared" si="25"/>
        <v>No</v>
      </c>
      <c r="P95" s="471">
        <f t="shared" si="22"/>
        <v>0</v>
      </c>
      <c r="Q95" s="475" t="str">
        <f>IF(C95="","",VLOOKUP(C95,Table_ingredients[],13,FALSE))</f>
        <v/>
      </c>
      <c r="R95" s="471">
        <f t="shared" si="23"/>
        <v>0</v>
      </c>
      <c r="S95" s="104"/>
      <c r="T95" s="120">
        <f t="shared" si="24"/>
        <v>0</v>
      </c>
      <c r="V95" s="59" t="s">
        <v>1690</v>
      </c>
      <c r="W95" s="46">
        <v>0.193</v>
      </c>
      <c r="X95" s="46">
        <v>2.7000000000000003E-2</v>
      </c>
      <c r="Y95" s="46">
        <v>0.71900000000000008</v>
      </c>
      <c r="Z95" s="46">
        <v>0.41009999999999996</v>
      </c>
      <c r="AA95" s="46">
        <v>6.0999999999999999E-2</v>
      </c>
      <c r="AB95" s="46">
        <v>8.8999999999999999E-3</v>
      </c>
      <c r="AC95" s="46">
        <v>0.12</v>
      </c>
      <c r="AD95" s="46">
        <v>3.0880000000000001E-2</v>
      </c>
      <c r="AE95" s="46">
        <v>0.88</v>
      </c>
      <c r="AF95" s="59" t="s">
        <v>526</v>
      </c>
      <c r="AG95" s="59"/>
      <c r="AH95" s="59" t="s">
        <v>1635</v>
      </c>
    </row>
    <row r="96" spans="2:34" x14ac:dyDescent="0.25">
      <c r="B96" s="13" t="s">
        <v>522</v>
      </c>
      <c r="C96" s="764"/>
      <c r="D96" s="774"/>
      <c r="E96" s="761" t="str">
        <f>IF(C96="","",VLOOKUP(C96,Table_ingredients[],2,FALSE))</f>
        <v/>
      </c>
      <c r="F96" s="761" t="str">
        <f>IF(C96="","",VLOOKUP(C96,Table_ingredients[],3,FALSE))</f>
        <v/>
      </c>
      <c r="G96" s="761" t="str">
        <f>IF(C96="","",VLOOKUP(C96,Table_ingredients[],4,FALSE))</f>
        <v/>
      </c>
      <c r="H96" s="761" t="str">
        <f>IF(C96="","",VLOOKUP(C96,Table_ingredients[],5,FALSE))</f>
        <v/>
      </c>
      <c r="I96" s="761" t="str">
        <f>IF(C96="","",VLOOKUP(C96,Table_ingredients[],6,FALSE))</f>
        <v/>
      </c>
      <c r="J96" s="761" t="str">
        <f>IF(C96="","",VLOOKUP(C96,Table_ingredients[],7,FALSE))</f>
        <v/>
      </c>
      <c r="K96" s="761" t="str">
        <f>IF(C96="","",VLOOKUP(C96,Table_ingredients[],8,FALSE))</f>
        <v/>
      </c>
      <c r="L96" s="474" t="str">
        <f>IF(C96="","",VLOOKUP(C96,Table_ingredients[],9,FALSE))</f>
        <v/>
      </c>
      <c r="M96" s="772" t="str">
        <f>IF(C96="","",VLOOKUP(C96,Table_ingredients[],10,FALSE))</f>
        <v/>
      </c>
      <c r="N96" s="767" t="str">
        <f>IF(C96="","",VLOOKUP(C96,Table_ingredients[],12,FALSE))</f>
        <v/>
      </c>
      <c r="O96" s="472" t="str">
        <f t="shared" si="25"/>
        <v>No</v>
      </c>
      <c r="P96" s="471">
        <f t="shared" si="22"/>
        <v>0</v>
      </c>
      <c r="Q96" s="475" t="str">
        <f>IF(C96="","",VLOOKUP(C96,Table_ingredients[],13,FALSE))</f>
        <v/>
      </c>
      <c r="R96" s="471">
        <f t="shared" si="23"/>
        <v>0</v>
      </c>
      <c r="S96" s="104"/>
      <c r="T96" s="120">
        <f t="shared" si="24"/>
        <v>0</v>
      </c>
      <c r="V96" s="59" t="s">
        <v>699</v>
      </c>
      <c r="W96" s="46">
        <v>0.28699999999999998</v>
      </c>
      <c r="X96" s="46">
        <v>9.5000000000000001E-2</v>
      </c>
      <c r="Y96" s="46">
        <v>0.60799999999999998</v>
      </c>
      <c r="Z96" s="46">
        <v>0.09</v>
      </c>
      <c r="AA96" s="46">
        <v>0.01</v>
      </c>
      <c r="AB96" s="46">
        <v>6.0999999999999995E-3</v>
      </c>
      <c r="AC96" s="46">
        <v>8.7000000000000022E-2</v>
      </c>
      <c r="AD96" s="46">
        <v>4.5919999999999996E-2</v>
      </c>
      <c r="AE96" s="46">
        <v>0.91299999999999992</v>
      </c>
      <c r="AF96" s="59" t="s">
        <v>1576</v>
      </c>
      <c r="AG96" s="59"/>
      <c r="AH96" s="59" t="s">
        <v>1635</v>
      </c>
    </row>
    <row r="97" spans="2:34" x14ac:dyDescent="0.25">
      <c r="B97" s="13" t="s">
        <v>523</v>
      </c>
      <c r="C97" s="764"/>
      <c r="D97" s="774"/>
      <c r="E97" s="761" t="str">
        <f>IF(C97="","",VLOOKUP(C97,Table_ingredients[],2,FALSE))</f>
        <v/>
      </c>
      <c r="F97" s="761" t="str">
        <f>IF(C97="","",VLOOKUP(C97,Table_ingredients[],3,FALSE))</f>
        <v/>
      </c>
      <c r="G97" s="761" t="str">
        <f>IF(C97="","",VLOOKUP(C97,Table_ingredients[],4,FALSE))</f>
        <v/>
      </c>
      <c r="H97" s="761" t="str">
        <f>IF(C97="","",VLOOKUP(C97,Table_ingredients[],5,FALSE))</f>
        <v/>
      </c>
      <c r="I97" s="761" t="str">
        <f>IF(C97="","",VLOOKUP(C97,Table_ingredients[],6,FALSE))</f>
        <v/>
      </c>
      <c r="J97" s="761" t="str">
        <f>IF(C97="","",VLOOKUP(C97,Table_ingredients[],7,FALSE))</f>
        <v/>
      </c>
      <c r="K97" s="761" t="str">
        <f>IF(C97="","",VLOOKUP(C97,Table_ingredients[],8,FALSE))</f>
        <v/>
      </c>
      <c r="L97" s="474" t="str">
        <f>IF(C97="","",VLOOKUP(C97,Table_ingredients[],9,FALSE))</f>
        <v/>
      </c>
      <c r="M97" s="772" t="str">
        <f>IF(C97="","",VLOOKUP(C97,Table_ingredients[],10,FALSE))</f>
        <v/>
      </c>
      <c r="N97" s="767" t="str">
        <f>IF(C97="","",VLOOKUP(C97,Table_ingredients[],12,FALSE))</f>
        <v/>
      </c>
      <c r="O97" s="472" t="str">
        <f t="shared" si="25"/>
        <v>No</v>
      </c>
      <c r="P97" s="471">
        <f t="shared" si="22"/>
        <v>0</v>
      </c>
      <c r="Q97" s="475" t="str">
        <f>IF(C97="","",VLOOKUP(C97,Table_ingredients[],13,FALSE))</f>
        <v/>
      </c>
      <c r="R97" s="471">
        <f t="shared" si="23"/>
        <v>0</v>
      </c>
      <c r="S97" s="104"/>
      <c r="T97" s="120">
        <f t="shared" si="24"/>
        <v>0</v>
      </c>
      <c r="V97" s="59" t="s">
        <v>698</v>
      </c>
      <c r="W97" s="46">
        <v>0.214</v>
      </c>
      <c r="X97" s="46">
        <v>3.6000000000000004E-2</v>
      </c>
      <c r="Y97" s="46">
        <v>0.68299999999999994</v>
      </c>
      <c r="Z97" s="46">
        <v>8.900000000000001E-2</v>
      </c>
      <c r="AA97" s="46">
        <v>6.7000000000000004E-2</v>
      </c>
      <c r="AB97" s="46">
        <v>7.6E-3</v>
      </c>
      <c r="AC97" s="46">
        <v>0.10900000000000006</v>
      </c>
      <c r="AD97" s="46">
        <v>3.424E-2</v>
      </c>
      <c r="AE97" s="46">
        <v>0.8909999999999999</v>
      </c>
      <c r="AF97" s="59" t="s">
        <v>1576</v>
      </c>
      <c r="AG97" s="59"/>
      <c r="AH97" s="59" t="s">
        <v>1635</v>
      </c>
    </row>
    <row r="98" spans="2:34" x14ac:dyDescent="0.25">
      <c r="B98" s="13" t="s">
        <v>1057</v>
      </c>
      <c r="C98" s="764"/>
      <c r="D98" s="774"/>
      <c r="E98" s="761" t="str">
        <f>IF(C98="","",VLOOKUP(C98,Table_ingredients[],2,FALSE))</f>
        <v/>
      </c>
      <c r="F98" s="761" t="str">
        <f>IF(C98="","",VLOOKUP(C98,Table_ingredients[],3,FALSE))</f>
        <v/>
      </c>
      <c r="G98" s="761" t="str">
        <f>IF(C98="","",VLOOKUP(C98,Table_ingredients[],4,FALSE))</f>
        <v/>
      </c>
      <c r="H98" s="761" t="str">
        <f>IF(C98="","",VLOOKUP(C98,Table_ingredients[],5,FALSE))</f>
        <v/>
      </c>
      <c r="I98" s="761" t="str">
        <f>IF(C98="","",VLOOKUP(C98,Table_ingredients[],6,FALSE))</f>
        <v/>
      </c>
      <c r="J98" s="761" t="str">
        <f>IF(C98="","",VLOOKUP(C98,Table_ingredients[],7,FALSE))</f>
        <v/>
      </c>
      <c r="K98" s="761" t="str">
        <f>IF(C98="","",VLOOKUP(C98,Table_ingredients[],8,FALSE))</f>
        <v/>
      </c>
      <c r="L98" s="474" t="str">
        <f>IF(C98="","",VLOOKUP(C98,Table_ingredients[],9,FALSE))</f>
        <v/>
      </c>
      <c r="M98" s="772" t="str">
        <f>IF(C98="","",VLOOKUP(C98,Table_ingredients[],10,FALSE))</f>
        <v/>
      </c>
      <c r="N98" s="767" t="str">
        <f>IF(C98="","",VLOOKUP(C98,Table_ingredients[],12,FALSE))</f>
        <v/>
      </c>
      <c r="O98" s="472" t="str">
        <f t="shared" si="25"/>
        <v>No</v>
      </c>
      <c r="P98" s="471">
        <f t="shared" si="22"/>
        <v>0</v>
      </c>
      <c r="Q98" s="475" t="str">
        <f>IF(C98="","",VLOOKUP(C98,Table_ingredients[],13,FALSE))</f>
        <v/>
      </c>
      <c r="R98" s="471">
        <f t="shared" si="23"/>
        <v>0</v>
      </c>
      <c r="S98" s="104"/>
      <c r="T98" s="120">
        <f t="shared" si="24"/>
        <v>0</v>
      </c>
      <c r="V98" s="59" t="s">
        <v>718</v>
      </c>
      <c r="W98" s="46">
        <v>7.4999999999999997E-2</v>
      </c>
      <c r="X98" s="46">
        <v>1.6E-2</v>
      </c>
      <c r="Y98" s="46">
        <v>0.89300000000000013</v>
      </c>
      <c r="Z98" s="46">
        <v>3.7999999999999999E-2</v>
      </c>
      <c r="AA98" s="46">
        <v>1.6E-2</v>
      </c>
      <c r="AB98" s="46">
        <v>3.0000000000000001E-3</v>
      </c>
      <c r="AC98" s="46">
        <v>0.55000000000000004</v>
      </c>
      <c r="AD98" s="46">
        <v>1.2E-2</v>
      </c>
      <c r="AE98" s="46">
        <v>0.45</v>
      </c>
      <c r="AF98" s="59" t="s">
        <v>1576</v>
      </c>
      <c r="AG98" s="59"/>
      <c r="AH98" s="59" t="s">
        <v>1635</v>
      </c>
    </row>
    <row r="99" spans="2:34" x14ac:dyDescent="0.25">
      <c r="B99" s="13" t="s">
        <v>1058</v>
      </c>
      <c r="C99" s="764"/>
      <c r="D99" s="774"/>
      <c r="E99" s="761" t="str">
        <f>IF(C99="","",VLOOKUP(C99,Table_ingredients[],2,FALSE))</f>
        <v/>
      </c>
      <c r="F99" s="761" t="str">
        <f>IF(C99="","",VLOOKUP(C99,Table_ingredients[],3,FALSE))</f>
        <v/>
      </c>
      <c r="G99" s="761" t="str">
        <f>IF(C99="","",VLOOKUP(C99,Table_ingredients[],4,FALSE))</f>
        <v/>
      </c>
      <c r="H99" s="761" t="str">
        <f>IF(C99="","",VLOOKUP(C99,Table_ingredients[],5,FALSE))</f>
        <v/>
      </c>
      <c r="I99" s="761" t="str">
        <f>IF(C99="","",VLOOKUP(C99,Table_ingredients[],6,FALSE))</f>
        <v/>
      </c>
      <c r="J99" s="761" t="str">
        <f>IF(C99="","",VLOOKUP(C99,Table_ingredients[],7,FALSE))</f>
        <v/>
      </c>
      <c r="K99" s="761" t="str">
        <f>IF(C99="","",VLOOKUP(C99,Table_ingredients[],8,FALSE))</f>
        <v/>
      </c>
      <c r="L99" s="474" t="str">
        <f>IF(C99="","",VLOOKUP(C99,Table_ingredients[],9,FALSE))</f>
        <v/>
      </c>
      <c r="M99" s="772" t="str">
        <f>IF(C99="","",VLOOKUP(C99,Table_ingredients[],10,FALSE))</f>
        <v/>
      </c>
      <c r="N99" s="767" t="str">
        <f>IF(C99="","",VLOOKUP(C99,Table_ingredients[],12,FALSE))</f>
        <v/>
      </c>
      <c r="O99" s="472" t="str">
        <f t="shared" si="25"/>
        <v>No</v>
      </c>
      <c r="P99" s="471">
        <f t="shared" si="22"/>
        <v>0</v>
      </c>
      <c r="Q99" s="475" t="str">
        <f>IF(C99="","",VLOOKUP(C99,Table_ingredients[],13,FALSE))</f>
        <v/>
      </c>
      <c r="R99" s="471">
        <f t="shared" si="23"/>
        <v>0</v>
      </c>
      <c r="S99" s="104"/>
      <c r="T99" s="120">
        <f t="shared" si="24"/>
        <v>0</v>
      </c>
      <c r="V99" s="59" t="s">
        <v>1691</v>
      </c>
      <c r="W99" s="46">
        <v>0.60599999999999998</v>
      </c>
      <c r="X99" s="46">
        <v>8.8000000000000009E-2</v>
      </c>
      <c r="Y99" s="46">
        <v>0.28799999999999998</v>
      </c>
      <c r="Z99" s="46">
        <v>6.0999999999999943E-3</v>
      </c>
      <c r="AA99" s="46">
        <v>1.8000000000000002E-2</v>
      </c>
      <c r="AB99" s="46">
        <v>4.9000000000000007E-3</v>
      </c>
      <c r="AC99" s="46">
        <v>0.105</v>
      </c>
      <c r="AD99" s="46">
        <v>9.6959999999999991E-2</v>
      </c>
      <c r="AE99" s="46">
        <v>0.89500000000000002</v>
      </c>
      <c r="AF99" s="59" t="s">
        <v>526</v>
      </c>
      <c r="AG99" s="59"/>
      <c r="AH99" s="59" t="s">
        <v>1635</v>
      </c>
    </row>
    <row r="100" spans="2:34" x14ac:dyDescent="0.25">
      <c r="B100" s="13" t="s">
        <v>1059</v>
      </c>
      <c r="C100" s="764"/>
      <c r="D100" s="774"/>
      <c r="E100" s="761" t="str">
        <f>IF(C100="","",VLOOKUP(C100,Table_ingredients[],2,FALSE))</f>
        <v/>
      </c>
      <c r="F100" s="761" t="str">
        <f>IF(C100="","",VLOOKUP(C100,Table_ingredients[],3,FALSE))</f>
        <v/>
      </c>
      <c r="G100" s="761" t="str">
        <f>IF(C100="","",VLOOKUP(C100,Table_ingredients[],4,FALSE))</f>
        <v/>
      </c>
      <c r="H100" s="761" t="str">
        <f>IF(C100="","",VLOOKUP(C100,Table_ingredients[],5,FALSE))</f>
        <v/>
      </c>
      <c r="I100" s="761" t="str">
        <f>IF(C100="","",VLOOKUP(C100,Table_ingredients[],6,FALSE))</f>
        <v/>
      </c>
      <c r="J100" s="761" t="str">
        <f>IF(C100="","",VLOOKUP(C100,Table_ingredients[],7,FALSE))</f>
        <v/>
      </c>
      <c r="K100" s="761" t="str">
        <f>IF(C100="","",VLOOKUP(C100,Table_ingredients[],8,FALSE))</f>
        <v/>
      </c>
      <c r="L100" s="474" t="str">
        <f>IF(C100="","",VLOOKUP(C100,Table_ingredients[],9,FALSE))</f>
        <v/>
      </c>
      <c r="M100" s="772" t="str">
        <f>IF(C100="","",VLOOKUP(C100,Table_ingredients[],10,FALSE))</f>
        <v/>
      </c>
      <c r="N100" s="767" t="str">
        <f>IF(C100="","",VLOOKUP(C100,Table_ingredients[],12,FALSE))</f>
        <v/>
      </c>
      <c r="O100" s="472" t="str">
        <f t="shared" si="25"/>
        <v>No</v>
      </c>
      <c r="P100" s="471">
        <f t="shared" si="22"/>
        <v>0</v>
      </c>
      <c r="Q100" s="475" t="str">
        <f>IF(C100="","",VLOOKUP(C100,Table_ingredients[],13,FALSE))</f>
        <v/>
      </c>
      <c r="R100" s="471">
        <f t="shared" si="23"/>
        <v>0</v>
      </c>
      <c r="S100" s="104"/>
      <c r="T100" s="120">
        <f t="shared" si="24"/>
        <v>0</v>
      </c>
      <c r="V100" s="59" t="s">
        <v>1692</v>
      </c>
      <c r="W100" s="46">
        <v>0.60599999999999998</v>
      </c>
      <c r="X100" s="46">
        <v>8.8000000000000009E-2</v>
      </c>
      <c r="Y100" s="46">
        <v>0.28799999999999998</v>
      </c>
      <c r="Z100" s="46">
        <v>6.0999999999999943E-3</v>
      </c>
      <c r="AA100" s="46">
        <v>1.8000000000000002E-2</v>
      </c>
      <c r="AB100" s="46">
        <v>4.9000000000000007E-3</v>
      </c>
      <c r="AC100" s="46">
        <v>0.105</v>
      </c>
      <c r="AD100" s="46">
        <v>9.6959999999999991E-2</v>
      </c>
      <c r="AE100" s="46">
        <v>0.89500000000000002</v>
      </c>
      <c r="AF100" s="59" t="s">
        <v>526</v>
      </c>
      <c r="AG100" s="59"/>
      <c r="AH100" s="59" t="s">
        <v>1635</v>
      </c>
    </row>
    <row r="101" spans="2:34" x14ac:dyDescent="0.25">
      <c r="B101" s="13" t="s">
        <v>1060</v>
      </c>
      <c r="C101" s="764"/>
      <c r="D101" s="774"/>
      <c r="E101" s="761" t="str">
        <f>IF(C101="","",VLOOKUP(C101,Table_ingredients[],2,FALSE))</f>
        <v/>
      </c>
      <c r="F101" s="761" t="str">
        <f>IF(C101="","",VLOOKUP(C101,Table_ingredients[],3,FALSE))</f>
        <v/>
      </c>
      <c r="G101" s="761" t="str">
        <f>IF(C101="","",VLOOKUP(C101,Table_ingredients[],4,FALSE))</f>
        <v/>
      </c>
      <c r="H101" s="761" t="str">
        <f>IF(C101="","",VLOOKUP(C101,Table_ingredients[],5,FALSE))</f>
        <v/>
      </c>
      <c r="I101" s="761" t="str">
        <f>IF(C101="","",VLOOKUP(C101,Table_ingredients[],6,FALSE))</f>
        <v/>
      </c>
      <c r="J101" s="761" t="str">
        <f>IF(C101="","",VLOOKUP(C101,Table_ingredients[],7,FALSE))</f>
        <v/>
      </c>
      <c r="K101" s="761" t="str">
        <f>IF(C101="","",VLOOKUP(C101,Table_ingredients[],8,FALSE))</f>
        <v/>
      </c>
      <c r="L101" s="474" t="str">
        <f>IF(C101="","",VLOOKUP(C101,Table_ingredients[],9,FALSE))</f>
        <v/>
      </c>
      <c r="M101" s="772" t="str">
        <f>IF(C101="","",VLOOKUP(C101,Table_ingredients[],10,FALSE))</f>
        <v/>
      </c>
      <c r="N101" s="767" t="str">
        <f>IF(C101="","",VLOOKUP(C101,Table_ingredients[],12,FALSE))</f>
        <v/>
      </c>
      <c r="O101" s="472" t="str">
        <f t="shared" si="25"/>
        <v>No</v>
      </c>
      <c r="P101" s="471">
        <f t="shared" si="22"/>
        <v>0</v>
      </c>
      <c r="Q101" s="475" t="str">
        <f>IF(C101="","",VLOOKUP(C101,Table_ingredients[],13,FALSE))</f>
        <v/>
      </c>
      <c r="R101" s="471">
        <f t="shared" si="23"/>
        <v>0</v>
      </c>
      <c r="S101" s="104"/>
      <c r="T101" s="120">
        <f t="shared" si="24"/>
        <v>0</v>
      </c>
      <c r="V101" s="59" t="s">
        <v>700</v>
      </c>
      <c r="W101" s="46">
        <v>0.43200000000000005</v>
      </c>
      <c r="X101" s="46">
        <v>0.04</v>
      </c>
      <c r="Y101" s="46">
        <v>0.51300000000000001</v>
      </c>
      <c r="Z101" s="46">
        <v>2.3E-2</v>
      </c>
      <c r="AA101" s="46">
        <v>1.4999999999999999E-2</v>
      </c>
      <c r="AB101" s="46">
        <v>5.7999999999999996E-3</v>
      </c>
      <c r="AC101" s="46">
        <v>0.1</v>
      </c>
      <c r="AD101" s="46">
        <v>6.9120000000000015E-2</v>
      </c>
      <c r="AE101" s="46">
        <v>0.9</v>
      </c>
      <c r="AF101" s="59" t="s">
        <v>1576</v>
      </c>
      <c r="AG101" s="59"/>
      <c r="AH101" s="59" t="s">
        <v>1635</v>
      </c>
    </row>
    <row r="102" spans="2:34" x14ac:dyDescent="0.25">
      <c r="B102" s="13" t="s">
        <v>1061</v>
      </c>
      <c r="C102" s="764"/>
      <c r="D102" s="774"/>
      <c r="E102" s="761" t="str">
        <f>IF(C102="","",VLOOKUP(C102,Table_ingredients[],2,FALSE))</f>
        <v/>
      </c>
      <c r="F102" s="761" t="str">
        <f>IF(C102="","",VLOOKUP(C102,Table_ingredients[],3,FALSE))</f>
        <v/>
      </c>
      <c r="G102" s="761" t="str">
        <f>IF(C102="","",VLOOKUP(C102,Table_ingredients[],4,FALSE))</f>
        <v/>
      </c>
      <c r="H102" s="761" t="str">
        <f>IF(C102="","",VLOOKUP(C102,Table_ingredients[],5,FALSE))</f>
        <v/>
      </c>
      <c r="I102" s="761" t="str">
        <f>IF(C102="","",VLOOKUP(C102,Table_ingredients[],6,FALSE))</f>
        <v/>
      </c>
      <c r="J102" s="761" t="str">
        <f>IF(C102="","",VLOOKUP(C102,Table_ingredients[],7,FALSE))</f>
        <v/>
      </c>
      <c r="K102" s="761" t="str">
        <f>IF(C102="","",VLOOKUP(C102,Table_ingredients[],8,FALSE))</f>
        <v/>
      </c>
      <c r="L102" s="474" t="str">
        <f>IF(C102="","",VLOOKUP(C102,Table_ingredients[],9,FALSE))</f>
        <v/>
      </c>
      <c r="M102" s="772" t="str">
        <f>IF(C102="","",VLOOKUP(C102,Table_ingredients[],10,FALSE))</f>
        <v/>
      </c>
      <c r="N102" s="767" t="str">
        <f>IF(C102="","",VLOOKUP(C102,Table_ingredients[],12,FALSE))</f>
        <v/>
      </c>
      <c r="O102" s="472" t="str">
        <f t="shared" si="25"/>
        <v>No</v>
      </c>
      <c r="P102" s="471">
        <f t="shared" si="22"/>
        <v>0</v>
      </c>
      <c r="Q102" s="475" t="str">
        <f>IF(C102="","",VLOOKUP(C102,Table_ingredients[],13,FALSE))</f>
        <v/>
      </c>
      <c r="R102" s="471">
        <f t="shared" si="23"/>
        <v>0</v>
      </c>
      <c r="S102" s="104"/>
      <c r="T102" s="120">
        <f t="shared" si="24"/>
        <v>0</v>
      </c>
      <c r="V102" s="59" t="s">
        <v>701</v>
      </c>
      <c r="W102" s="46">
        <v>0.51300000000000001</v>
      </c>
      <c r="X102" s="46">
        <v>7.8E-2</v>
      </c>
      <c r="Y102" s="46">
        <v>0.38900000000000007</v>
      </c>
      <c r="Z102" s="46">
        <v>2.1000000000000001E-2</v>
      </c>
      <c r="AA102" s="46">
        <v>0.02</v>
      </c>
      <c r="AB102" s="46">
        <v>4.1999999999999997E-3</v>
      </c>
      <c r="AC102" s="46">
        <v>8.7999999999999967E-2</v>
      </c>
      <c r="AD102" s="46">
        <v>8.208E-2</v>
      </c>
      <c r="AE102" s="46">
        <v>0.91200000000000003</v>
      </c>
      <c r="AF102" s="59" t="s">
        <v>1576</v>
      </c>
      <c r="AG102" s="59"/>
      <c r="AH102" s="59" t="s">
        <v>1635</v>
      </c>
    </row>
    <row r="103" spans="2:34" ht="15.75" thickBot="1" x14ac:dyDescent="0.3">
      <c r="B103" s="16" t="s">
        <v>1062</v>
      </c>
      <c r="C103" s="765"/>
      <c r="D103" s="775"/>
      <c r="E103" s="776" t="str">
        <f>IF(C103="","",VLOOKUP(C103,Table_ingredients[],2,FALSE))</f>
        <v/>
      </c>
      <c r="F103" s="776" t="str">
        <f>IF(C103="","",VLOOKUP(C103,Table_ingredients[],3,FALSE))</f>
        <v/>
      </c>
      <c r="G103" s="776" t="str">
        <f>IF(C103="","",VLOOKUP(C103,Table_ingredients[],4,FALSE))</f>
        <v/>
      </c>
      <c r="H103" s="776" t="str">
        <f>IF(C103="","",VLOOKUP(C103,Table_ingredients[],5,FALSE))</f>
        <v/>
      </c>
      <c r="I103" s="776" t="str">
        <f>IF(C103="","",VLOOKUP(C103,Table_ingredients[],6,FALSE))</f>
        <v/>
      </c>
      <c r="J103" s="776" t="str">
        <f>IF(C103="","",VLOOKUP(C103,Table_ingredients[],7,FALSE))</f>
        <v/>
      </c>
      <c r="K103" s="776" t="str">
        <f>IF(C103="","",VLOOKUP(C103,Table_ingredients[],8,FALSE))</f>
        <v/>
      </c>
      <c r="L103" s="777" t="str">
        <f>IF(C103="","",VLOOKUP(C103,Table_ingredients[],9,FALSE))</f>
        <v/>
      </c>
      <c r="M103" s="778" t="str">
        <f>IF(C103="","",VLOOKUP(C103,Table_ingredients[],10,FALSE))</f>
        <v/>
      </c>
      <c r="N103" s="767" t="str">
        <f>IF(C103="","",VLOOKUP(C103,Table_ingredients[],12,FALSE))</f>
        <v/>
      </c>
      <c r="O103" s="479" t="str">
        <f t="shared" si="25"/>
        <v>No</v>
      </c>
      <c r="P103" s="478">
        <f t="shared" si="22"/>
        <v>0</v>
      </c>
      <c r="Q103" s="475" t="str">
        <f>IF(C103="","",VLOOKUP(C103,Table_ingredients[],13,FALSE))</f>
        <v/>
      </c>
      <c r="R103" s="478">
        <f t="shared" si="23"/>
        <v>0</v>
      </c>
      <c r="S103" s="477"/>
      <c r="T103" s="120">
        <f t="shared" si="24"/>
        <v>0</v>
      </c>
      <c r="V103" s="59" t="s">
        <v>702</v>
      </c>
      <c r="W103" s="46">
        <v>0.56100000000000005</v>
      </c>
      <c r="X103" s="46">
        <v>0.04</v>
      </c>
      <c r="Y103" s="46">
        <v>0.37799999999999995</v>
      </c>
      <c r="Z103" s="46">
        <v>2.8999999999999998E-2</v>
      </c>
      <c r="AA103" s="46">
        <v>2.1000000000000001E-2</v>
      </c>
      <c r="AB103" s="46">
        <v>4.5000000000000005E-3</v>
      </c>
      <c r="AC103" s="46">
        <v>8.5999999999999938E-2</v>
      </c>
      <c r="AD103" s="46">
        <v>8.9760000000000006E-2</v>
      </c>
      <c r="AE103" s="46">
        <v>0.91400000000000003</v>
      </c>
      <c r="AF103" s="59" t="s">
        <v>1576</v>
      </c>
      <c r="AG103" s="59"/>
      <c r="AH103" s="59" t="s">
        <v>1635</v>
      </c>
    </row>
    <row r="104" spans="2:34" ht="15.75" thickBot="1" x14ac:dyDescent="0.3">
      <c r="B104" s="26"/>
      <c r="C104" s="483" t="s">
        <v>1123</v>
      </c>
      <c r="D104" s="484">
        <f>SUM(D88:D103)</f>
        <v>0</v>
      </c>
      <c r="E104" s="759">
        <f>SUMPRODUCT($D$16:$D$31,E88:E103)</f>
        <v>0</v>
      </c>
      <c r="F104" s="759">
        <f t="shared" ref="F104:M104" si="26">SUMPRODUCT($D$16:$D$31,F88:F103)</f>
        <v>0</v>
      </c>
      <c r="G104" s="759">
        <f t="shared" si="26"/>
        <v>0</v>
      </c>
      <c r="H104" s="759">
        <f t="shared" si="26"/>
        <v>0</v>
      </c>
      <c r="I104" s="759">
        <f t="shared" si="26"/>
        <v>0</v>
      </c>
      <c r="J104" s="759">
        <f t="shared" si="26"/>
        <v>0</v>
      </c>
      <c r="K104" s="759">
        <f t="shared" si="26"/>
        <v>0</v>
      </c>
      <c r="L104" s="759">
        <f t="shared" si="26"/>
        <v>0</v>
      </c>
      <c r="M104" s="759">
        <f t="shared" si="26"/>
        <v>0</v>
      </c>
      <c r="N104" s="779"/>
      <c r="O104" s="780"/>
      <c r="P104" s="484">
        <f>SUM(P88:P103)</f>
        <v>0</v>
      </c>
      <c r="Q104" s="91"/>
      <c r="R104" s="485">
        <f>SUM(R88:R103)</f>
        <v>0</v>
      </c>
      <c r="S104" s="91"/>
      <c r="T104" s="486">
        <f>SUM(T88:T103)</f>
        <v>0</v>
      </c>
      <c r="V104" s="59" t="s">
        <v>703</v>
      </c>
      <c r="W104" s="46">
        <v>0.59899999999999998</v>
      </c>
      <c r="X104" s="46">
        <v>1.6E-2</v>
      </c>
      <c r="Y104" s="46">
        <v>0.36099999999999999</v>
      </c>
      <c r="Z104" s="46">
        <v>0.02</v>
      </c>
      <c r="AA104" s="46">
        <v>2.4E-2</v>
      </c>
      <c r="AB104" s="46">
        <v>4.4000000000000003E-3</v>
      </c>
      <c r="AC104" s="46">
        <v>9.0999999999999942E-2</v>
      </c>
      <c r="AD104" s="46">
        <v>9.5839999999999995E-2</v>
      </c>
      <c r="AE104" s="46">
        <v>0.90900000000000003</v>
      </c>
      <c r="AF104" s="59" t="s">
        <v>1576</v>
      </c>
      <c r="AG104" s="59"/>
      <c r="AH104" s="59" t="s">
        <v>1635</v>
      </c>
    </row>
    <row r="105" spans="2:34" ht="15.75" thickBot="1" x14ac:dyDescent="0.3">
      <c r="B105" s="480"/>
      <c r="C105" s="481"/>
      <c r="D105" s="482" t="str">
        <f>IF(D104=100%,"OK","Not 100%")</f>
        <v>Not 100%</v>
      </c>
      <c r="E105" s="760"/>
      <c r="F105" s="760"/>
      <c r="G105" s="760"/>
      <c r="H105" s="760"/>
      <c r="I105" s="760"/>
      <c r="J105" s="760"/>
      <c r="K105" s="760"/>
      <c r="L105" s="846"/>
      <c r="M105" s="847"/>
      <c r="N105" s="847"/>
      <c r="O105" s="847"/>
      <c r="P105" s="847"/>
      <c r="Q105" s="847"/>
      <c r="R105" s="847"/>
      <c r="S105" s="847"/>
      <c r="T105" s="848"/>
      <c r="V105" s="59" t="s">
        <v>704</v>
      </c>
      <c r="W105" s="46">
        <v>0.61799999999999999</v>
      </c>
      <c r="X105" s="46">
        <v>2.7999999999999997E-2</v>
      </c>
      <c r="Y105" s="46">
        <v>0.33100000000000007</v>
      </c>
      <c r="Z105" s="46">
        <v>1.9E-2</v>
      </c>
      <c r="AA105" s="46">
        <v>2.3E-2</v>
      </c>
      <c r="AB105" s="46">
        <v>4.7999999999999996E-3</v>
      </c>
      <c r="AC105" s="46">
        <v>9.7999999999999976E-2</v>
      </c>
      <c r="AD105" s="46">
        <v>9.8879999999999996E-2</v>
      </c>
      <c r="AE105" s="46">
        <v>0.90200000000000002</v>
      </c>
      <c r="AF105" s="59" t="s">
        <v>1576</v>
      </c>
      <c r="AG105" s="59"/>
      <c r="AH105" s="59" t="s">
        <v>1635</v>
      </c>
    </row>
    <row r="106" spans="2:34" ht="15.75" thickBot="1" x14ac:dyDescent="0.3">
      <c r="V106" s="59" t="s">
        <v>705</v>
      </c>
      <c r="W106" s="46">
        <v>0.67700000000000005</v>
      </c>
      <c r="X106" s="46">
        <v>7.0999999999999994E-2</v>
      </c>
      <c r="Y106" s="46">
        <v>0.23099999999999996</v>
      </c>
      <c r="Z106" s="46">
        <v>1.2E-2</v>
      </c>
      <c r="AA106" s="46">
        <v>2.1000000000000001E-2</v>
      </c>
      <c r="AB106" s="46">
        <v>4.0000000000000001E-3</v>
      </c>
      <c r="AC106" s="46">
        <v>0.105</v>
      </c>
      <c r="AD106" s="46">
        <v>0.10832000000000001</v>
      </c>
      <c r="AE106" s="46">
        <v>0.89500000000000002</v>
      </c>
      <c r="AF106" s="59" t="s">
        <v>1576</v>
      </c>
      <c r="AG106" s="59"/>
      <c r="AH106" s="59" t="s">
        <v>1635</v>
      </c>
    </row>
    <row r="107" spans="2:34" ht="21.75" thickBot="1" x14ac:dyDescent="0.4">
      <c r="B107" s="860" t="s">
        <v>1472</v>
      </c>
      <c r="C107" s="861"/>
      <c r="D107" s="861"/>
      <c r="E107" s="861"/>
      <c r="F107" s="862"/>
      <c r="G107" s="862"/>
      <c r="H107" s="861"/>
      <c r="I107" s="861"/>
      <c r="J107" s="861"/>
      <c r="K107" s="861"/>
      <c r="L107" s="861"/>
      <c r="M107" s="861"/>
      <c r="N107" s="861"/>
      <c r="O107" s="861"/>
      <c r="P107" s="861"/>
      <c r="Q107" s="861"/>
      <c r="R107" s="861"/>
      <c r="S107" s="861"/>
      <c r="T107" s="863"/>
      <c r="V107" s="59" t="s">
        <v>707</v>
      </c>
      <c r="W107" s="46">
        <v>7.9000000000000001E-2</v>
      </c>
      <c r="X107" s="46">
        <v>3.7000000000000005E-2</v>
      </c>
      <c r="Y107" s="46">
        <v>0.80399999999999994</v>
      </c>
      <c r="Z107" s="46">
        <v>1.7000000000000001E-2</v>
      </c>
      <c r="AA107" s="46">
        <v>0.08</v>
      </c>
      <c r="AB107" s="46">
        <v>2.5000000000000001E-3</v>
      </c>
      <c r="AC107" s="46">
        <v>0.125</v>
      </c>
      <c r="AD107" s="46">
        <v>1.264E-2</v>
      </c>
      <c r="AE107" s="46">
        <v>0.875</v>
      </c>
      <c r="AF107" s="59" t="s">
        <v>1576</v>
      </c>
      <c r="AG107" s="59"/>
      <c r="AH107" s="59" t="s">
        <v>1635</v>
      </c>
    </row>
    <row r="108" spans="2:34" ht="15" customHeight="1" x14ac:dyDescent="0.25">
      <c r="B108" s="849" t="s">
        <v>1463</v>
      </c>
      <c r="C108" s="870"/>
      <c r="D108" s="873" t="s">
        <v>1193</v>
      </c>
      <c r="E108" s="875"/>
      <c r="F108" s="864" t="s">
        <v>1192</v>
      </c>
      <c r="G108" s="867"/>
      <c r="H108" s="877" t="s">
        <v>1188</v>
      </c>
      <c r="I108" s="491" t="s">
        <v>1464</v>
      </c>
      <c r="J108" s="495"/>
      <c r="K108" s="849" t="s">
        <v>1467</v>
      </c>
      <c r="L108" s="856" t="s">
        <v>1464</v>
      </c>
      <c r="M108" s="852"/>
      <c r="N108" s="853"/>
      <c r="O108" s="880"/>
      <c r="P108" s="881"/>
      <c r="Q108" s="881"/>
      <c r="R108" s="881"/>
      <c r="S108" s="881"/>
      <c r="T108" s="882"/>
      <c r="V108" s="59" t="s">
        <v>932</v>
      </c>
      <c r="W108" s="46">
        <v>0</v>
      </c>
      <c r="X108" s="46">
        <v>0.98699999999999999</v>
      </c>
      <c r="Y108" s="46">
        <v>9.9999999999999707E-3</v>
      </c>
      <c r="Z108" s="46">
        <v>0</v>
      </c>
      <c r="AA108" s="46">
        <v>3.0000000000000001E-3</v>
      </c>
      <c r="AB108" s="46">
        <v>0</v>
      </c>
      <c r="AC108" s="46">
        <v>0.01</v>
      </c>
      <c r="AD108" s="46">
        <v>0</v>
      </c>
      <c r="AE108" s="46">
        <v>0.99</v>
      </c>
      <c r="AF108" s="59" t="s">
        <v>1576</v>
      </c>
      <c r="AG108" s="59"/>
      <c r="AH108" s="59" t="s">
        <v>1635</v>
      </c>
    </row>
    <row r="109" spans="2:34" x14ac:dyDescent="0.25">
      <c r="B109" s="850"/>
      <c r="C109" s="871"/>
      <c r="D109" s="874"/>
      <c r="E109" s="876"/>
      <c r="F109" s="865"/>
      <c r="G109" s="868"/>
      <c r="H109" s="878"/>
      <c r="I109" s="489" t="s">
        <v>1465</v>
      </c>
      <c r="J109" s="496"/>
      <c r="K109" s="850"/>
      <c r="L109" s="857"/>
      <c r="M109" s="854"/>
      <c r="N109" s="855"/>
      <c r="O109" s="883"/>
      <c r="P109" s="884"/>
      <c r="Q109" s="884"/>
      <c r="R109" s="884"/>
      <c r="S109" s="884"/>
      <c r="T109" s="885"/>
      <c r="V109" s="59" t="s">
        <v>1693</v>
      </c>
      <c r="W109" s="46">
        <v>0</v>
      </c>
      <c r="X109" s="46">
        <v>1</v>
      </c>
      <c r="Y109" s="46">
        <v>0</v>
      </c>
      <c r="Z109" s="46">
        <v>0</v>
      </c>
      <c r="AA109" s="46">
        <v>0</v>
      </c>
      <c r="AB109" s="46">
        <v>0</v>
      </c>
      <c r="AC109" s="46">
        <v>0</v>
      </c>
      <c r="AD109" s="46">
        <v>0</v>
      </c>
      <c r="AE109" s="46">
        <v>1</v>
      </c>
      <c r="AF109" s="59" t="s">
        <v>526</v>
      </c>
      <c r="AG109" s="59"/>
      <c r="AH109" s="59" t="s">
        <v>1635</v>
      </c>
    </row>
    <row r="110" spans="2:34" ht="15.75" thickBot="1" x14ac:dyDescent="0.3">
      <c r="B110" s="851"/>
      <c r="C110" s="872"/>
      <c r="D110" s="874"/>
      <c r="E110" s="876"/>
      <c r="F110" s="866"/>
      <c r="G110" s="869"/>
      <c r="H110" s="879"/>
      <c r="I110" s="490" t="s">
        <v>1466</v>
      </c>
      <c r="J110" s="497"/>
      <c r="K110" s="851"/>
      <c r="L110" s="490" t="s">
        <v>1468</v>
      </c>
      <c r="M110" s="858"/>
      <c r="N110" s="859"/>
      <c r="O110" s="886"/>
      <c r="P110" s="887"/>
      <c r="Q110" s="887"/>
      <c r="R110" s="887"/>
      <c r="S110" s="887"/>
      <c r="T110" s="888"/>
      <c r="V110" s="59" t="s">
        <v>1694</v>
      </c>
      <c r="W110" s="46">
        <v>0</v>
      </c>
      <c r="X110" s="46">
        <v>1</v>
      </c>
      <c r="Y110" s="46">
        <v>0</v>
      </c>
      <c r="Z110" s="46">
        <v>0</v>
      </c>
      <c r="AA110" s="46">
        <v>0</v>
      </c>
      <c r="AB110" s="46">
        <v>0</v>
      </c>
      <c r="AC110" s="46">
        <v>0</v>
      </c>
      <c r="AD110" s="46">
        <v>0</v>
      </c>
      <c r="AE110" s="46">
        <v>1</v>
      </c>
      <c r="AF110" s="59" t="s">
        <v>526</v>
      </c>
      <c r="AG110" s="59"/>
      <c r="AH110" s="59" t="s">
        <v>1635</v>
      </c>
    </row>
    <row r="111" spans="2:34" ht="45.75" thickBot="1" x14ac:dyDescent="0.3">
      <c r="B111" s="488"/>
      <c r="C111" s="762" t="s">
        <v>511</v>
      </c>
      <c r="D111" s="768" t="s">
        <v>512</v>
      </c>
      <c r="E111" s="769" t="s">
        <v>1479</v>
      </c>
      <c r="F111" s="492" t="s">
        <v>1571</v>
      </c>
      <c r="G111" s="492" t="s">
        <v>1636</v>
      </c>
      <c r="H111" s="769" t="s">
        <v>1573</v>
      </c>
      <c r="I111" s="769" t="s">
        <v>1574</v>
      </c>
      <c r="J111" s="769" t="s">
        <v>1090</v>
      </c>
      <c r="K111" s="769" t="s">
        <v>1575</v>
      </c>
      <c r="L111" s="769" t="s">
        <v>1041</v>
      </c>
      <c r="M111" s="770" t="s">
        <v>1046</v>
      </c>
      <c r="N111" s="766" t="s">
        <v>1063</v>
      </c>
      <c r="O111" s="492" t="s">
        <v>1067</v>
      </c>
      <c r="P111" s="492" t="s">
        <v>1066</v>
      </c>
      <c r="Q111" s="492" t="s">
        <v>519</v>
      </c>
      <c r="R111" s="492"/>
      <c r="S111" s="493" t="s">
        <v>1189</v>
      </c>
      <c r="T111" s="494" t="s">
        <v>1190</v>
      </c>
      <c r="V111" s="59" t="s">
        <v>706</v>
      </c>
      <c r="W111" s="46">
        <v>0.77500000000000002</v>
      </c>
      <c r="X111" s="46">
        <v>3.5000000000000003E-2</v>
      </c>
      <c r="Y111" s="46">
        <v>0.17699999999999999</v>
      </c>
      <c r="Z111" s="46">
        <v>0.01</v>
      </c>
      <c r="AA111" s="46">
        <v>1.3000000000000001E-2</v>
      </c>
      <c r="AB111" s="46">
        <v>3.4000000000000002E-3</v>
      </c>
      <c r="AC111" s="46">
        <v>7.0000000000000007E-2</v>
      </c>
      <c r="AD111" s="46">
        <v>0.124</v>
      </c>
      <c r="AE111" s="46">
        <v>0.93</v>
      </c>
      <c r="AF111" s="59" t="s">
        <v>1576</v>
      </c>
      <c r="AG111" s="59"/>
      <c r="AH111" s="59" t="s">
        <v>1635</v>
      </c>
    </row>
    <row r="112" spans="2:34" x14ac:dyDescent="0.25">
      <c r="B112" s="21" t="s">
        <v>513</v>
      </c>
      <c r="C112" s="763"/>
      <c r="D112" s="771"/>
      <c r="E112" s="761" t="str">
        <f>IF(C112="","",VLOOKUP(C112,Table_ingredients[],2,FALSE))</f>
        <v/>
      </c>
      <c r="F112" s="761" t="str">
        <f>IF(C112="","",VLOOKUP(C112,Table_ingredients[],3,FALSE))</f>
        <v/>
      </c>
      <c r="G112" s="761" t="str">
        <f>IF(C112="","",VLOOKUP(C112,Table_ingredients[],4,FALSE))</f>
        <v/>
      </c>
      <c r="H112" s="761" t="str">
        <f>IF(C112="","",VLOOKUP(C112,Table_ingredients[],5,FALSE))</f>
        <v/>
      </c>
      <c r="I112" s="761" t="str">
        <f>IF(C112="","",VLOOKUP(C112,Table_ingredients[],6,FALSE))</f>
        <v/>
      </c>
      <c r="J112" s="761" t="str">
        <f>IF(C112="","",VLOOKUP(C112,Table_ingredients[],7,FALSE))</f>
        <v/>
      </c>
      <c r="K112" s="761" t="str">
        <f>IF(C112="","",VLOOKUP(C112,Table_ingredients[],8,FALSE))</f>
        <v/>
      </c>
      <c r="L112" s="474" t="str">
        <f>IF(C112="","",VLOOKUP(C112,Table_ingredients[],9,FALSE))</f>
        <v/>
      </c>
      <c r="M112" s="772" t="str">
        <f>IF(C112="","",VLOOKUP(C112,Table_ingredients[],10,FALSE))</f>
        <v/>
      </c>
      <c r="N112" s="767" t="str">
        <f>IF(C112="","",VLOOKUP(C112,Table_ingredients[],12,FALSE))</f>
        <v/>
      </c>
      <c r="O112" s="476" t="str">
        <f>IF(N112=$C$3,"Yes","No")</f>
        <v>No</v>
      </c>
      <c r="P112" s="474">
        <f t="shared" ref="P112:P127" si="27">IF(O112="Yes",D112,0)</f>
        <v>0</v>
      </c>
      <c r="Q112" s="475" t="str">
        <f>IF(C112="","",VLOOKUP(C112,Table_ingredients[],13,FALSE))</f>
        <v/>
      </c>
      <c r="R112" s="474">
        <f t="shared" ref="R112:R127" si="28">IF(Q112="Yes",D112,0)</f>
        <v>0</v>
      </c>
      <c r="S112" s="109"/>
      <c r="T112" s="120">
        <f t="shared" ref="T112:T127" si="29">S112*D112*$C$12</f>
        <v>0</v>
      </c>
      <c r="V112" s="59" t="s">
        <v>719</v>
      </c>
      <c r="W112" s="46">
        <v>0.76200000000000001</v>
      </c>
      <c r="X112" s="46">
        <v>4.4999999999999998E-2</v>
      </c>
      <c r="Y112" s="46">
        <v>0.17999999999999997</v>
      </c>
      <c r="Z112" s="46">
        <v>0.01</v>
      </c>
      <c r="AA112" s="46">
        <v>1.3000000000000001E-2</v>
      </c>
      <c r="AB112" s="46">
        <v>2.3999999999999998E-3</v>
      </c>
      <c r="AC112" s="46">
        <v>8.5000000000000006E-2</v>
      </c>
      <c r="AD112" s="46">
        <v>0.12192</v>
      </c>
      <c r="AE112" s="46">
        <v>0.91500000000000004</v>
      </c>
      <c r="AF112" s="59" t="s">
        <v>1576</v>
      </c>
      <c r="AG112" s="59"/>
      <c r="AH112" s="59" t="s">
        <v>1635</v>
      </c>
    </row>
    <row r="113" spans="2:34" x14ac:dyDescent="0.25">
      <c r="B113" s="13" t="s">
        <v>514</v>
      </c>
      <c r="C113" s="764"/>
      <c r="D113" s="773"/>
      <c r="E113" s="761" t="str">
        <f>IF(C113="","",VLOOKUP(C113,Table_ingredients[],2,FALSE))</f>
        <v/>
      </c>
      <c r="F113" s="761" t="str">
        <f>IF(C113="","",VLOOKUP(C113,Table_ingredients[],3,FALSE))</f>
        <v/>
      </c>
      <c r="G113" s="761" t="str">
        <f>IF(C113="","",VLOOKUP(C113,Table_ingredients[],4,FALSE))</f>
        <v/>
      </c>
      <c r="H113" s="761" t="str">
        <f>IF(C113="","",VLOOKUP(C113,Table_ingredients[],5,FALSE))</f>
        <v/>
      </c>
      <c r="I113" s="761" t="str">
        <f>IF(C113="","",VLOOKUP(C113,Table_ingredients[],6,FALSE))</f>
        <v/>
      </c>
      <c r="J113" s="761" t="str">
        <f>IF(C113="","",VLOOKUP(C113,Table_ingredients[],7,FALSE))</f>
        <v/>
      </c>
      <c r="K113" s="761" t="str">
        <f>IF(C113="","",VLOOKUP(C113,Table_ingredients[],8,FALSE))</f>
        <v/>
      </c>
      <c r="L113" s="474" t="str">
        <f>IF(C113="","",VLOOKUP(C113,Table_ingredients[],9,FALSE))</f>
        <v/>
      </c>
      <c r="M113" s="772" t="str">
        <f>IF(C113="","",VLOOKUP(C113,Table_ingredients[],10,FALSE))</f>
        <v/>
      </c>
      <c r="N113" s="767" t="str">
        <f>IF(C113="","",VLOOKUP(C113,Table_ingredients[],12,FALSE))</f>
        <v/>
      </c>
      <c r="O113" s="472" t="str">
        <f t="shared" ref="O113:O127" si="30">IF(N113=$C$3,"Yes","No")</f>
        <v>No</v>
      </c>
      <c r="P113" s="471">
        <f t="shared" si="27"/>
        <v>0</v>
      </c>
      <c r="Q113" s="475" t="str">
        <f>IF(C113="","",VLOOKUP(C113,Table_ingredients[],13,FALSE))</f>
        <v/>
      </c>
      <c r="R113" s="471">
        <f t="shared" si="28"/>
        <v>0</v>
      </c>
      <c r="S113" s="104"/>
      <c r="T113" s="120">
        <f t="shared" si="29"/>
        <v>0</v>
      </c>
      <c r="V113" s="59" t="s">
        <v>708</v>
      </c>
      <c r="W113" s="46">
        <v>7.6999999999999999E-2</v>
      </c>
      <c r="X113" s="46">
        <v>2.8999999999999998E-2</v>
      </c>
      <c r="Y113" s="46">
        <v>0.88099999999999989</v>
      </c>
      <c r="Z113" s="46">
        <v>0</v>
      </c>
      <c r="AA113" s="46">
        <v>1.3000000000000001E-2</v>
      </c>
      <c r="AB113" s="46">
        <v>1.9E-3</v>
      </c>
      <c r="AC113" s="46">
        <v>0.13</v>
      </c>
      <c r="AD113" s="46">
        <v>1.2319999999999999E-2</v>
      </c>
      <c r="AE113" s="46">
        <v>0.87</v>
      </c>
      <c r="AF113" s="59" t="s">
        <v>1576</v>
      </c>
      <c r="AG113" s="59"/>
      <c r="AH113" s="59" t="s">
        <v>1635</v>
      </c>
    </row>
    <row r="114" spans="2:34" x14ac:dyDescent="0.25">
      <c r="B114" s="13" t="s">
        <v>515</v>
      </c>
      <c r="C114" s="764"/>
      <c r="D114" s="773"/>
      <c r="E114" s="761" t="str">
        <f>IF(C114="","",VLOOKUP(C114,Table_ingredients[],2,FALSE))</f>
        <v/>
      </c>
      <c r="F114" s="761" t="str">
        <f>IF(C114="","",VLOOKUP(C114,Table_ingredients[],3,FALSE))</f>
        <v/>
      </c>
      <c r="G114" s="761" t="str">
        <f>IF(C114="","",VLOOKUP(C114,Table_ingredients[],4,FALSE))</f>
        <v/>
      </c>
      <c r="H114" s="761" t="str">
        <f>IF(C114="","",VLOOKUP(C114,Table_ingredients[],5,FALSE))</f>
        <v/>
      </c>
      <c r="I114" s="761" t="str">
        <f>IF(C114="","",VLOOKUP(C114,Table_ingredients[],6,FALSE))</f>
        <v/>
      </c>
      <c r="J114" s="761" t="str">
        <f>IF(C114="","",VLOOKUP(C114,Table_ingredients[],7,FALSE))</f>
        <v/>
      </c>
      <c r="K114" s="761" t="str">
        <f>IF(C114="","",VLOOKUP(C114,Table_ingredients[],8,FALSE))</f>
        <v/>
      </c>
      <c r="L114" s="474" t="str">
        <f>IF(C114="","",VLOOKUP(C114,Table_ingredients[],9,FALSE))</f>
        <v/>
      </c>
      <c r="M114" s="772" t="str">
        <f>IF(C114="","",VLOOKUP(C114,Table_ingredients[],10,FALSE))</f>
        <v/>
      </c>
      <c r="N114" s="767" t="str">
        <f>IF(C114="","",VLOOKUP(C114,Table_ingredients[],12,FALSE))</f>
        <v/>
      </c>
      <c r="O114" s="472" t="str">
        <f t="shared" si="30"/>
        <v>No</v>
      </c>
      <c r="P114" s="471">
        <f t="shared" si="27"/>
        <v>0</v>
      </c>
      <c r="Q114" s="475" t="str">
        <f>IF(C114="","",VLOOKUP(C114,Table_ingredients[],13,FALSE))</f>
        <v/>
      </c>
      <c r="R114" s="471">
        <f t="shared" si="28"/>
        <v>0</v>
      </c>
      <c r="S114" s="104"/>
      <c r="T114" s="120">
        <f t="shared" si="29"/>
        <v>0</v>
      </c>
      <c r="V114" s="59" t="s">
        <v>710</v>
      </c>
      <c r="W114" s="46">
        <v>0.16500000000000001</v>
      </c>
      <c r="X114" s="46">
        <v>2.7000000000000003E-2</v>
      </c>
      <c r="Y114" s="46">
        <v>0.748</v>
      </c>
      <c r="Z114" s="46">
        <v>0</v>
      </c>
      <c r="AA114" s="46">
        <v>0.06</v>
      </c>
      <c r="AB114" s="46">
        <v>2.5000000000000001E-3</v>
      </c>
      <c r="AC114" s="46">
        <v>0.498</v>
      </c>
      <c r="AD114" s="46">
        <v>2.64E-2</v>
      </c>
      <c r="AE114" s="46">
        <v>0.502</v>
      </c>
      <c r="AF114" s="59" t="s">
        <v>1576</v>
      </c>
      <c r="AG114" s="59"/>
      <c r="AH114" s="59" t="s">
        <v>1635</v>
      </c>
    </row>
    <row r="115" spans="2:34" x14ac:dyDescent="0.25">
      <c r="B115" s="13" t="s">
        <v>516</v>
      </c>
      <c r="C115" s="764"/>
      <c r="D115" s="773"/>
      <c r="E115" s="761" t="str">
        <f>IF(C115="","",VLOOKUP(C115,Table_ingredients[],2,FALSE))</f>
        <v/>
      </c>
      <c r="F115" s="761" t="str">
        <f>IF(C115="","",VLOOKUP(C115,Table_ingredients[],3,FALSE))</f>
        <v/>
      </c>
      <c r="G115" s="761" t="str">
        <f>IF(C115="","",VLOOKUP(C115,Table_ingredients[],4,FALSE))</f>
        <v/>
      </c>
      <c r="H115" s="761" t="str">
        <f>IF(C115="","",VLOOKUP(C115,Table_ingredients[],5,FALSE))</f>
        <v/>
      </c>
      <c r="I115" s="761" t="str">
        <f>IF(C115="","",VLOOKUP(C115,Table_ingredients[],6,FALSE))</f>
        <v/>
      </c>
      <c r="J115" s="761" t="str">
        <f>IF(C115="","",VLOOKUP(C115,Table_ingredients[],7,FALSE))</f>
        <v/>
      </c>
      <c r="K115" s="761" t="str">
        <f>IF(C115="","",VLOOKUP(C115,Table_ingredients[],8,FALSE))</f>
        <v/>
      </c>
      <c r="L115" s="474" t="str">
        <f>IF(C115="","",VLOOKUP(C115,Table_ingredients[],9,FALSE))</f>
        <v/>
      </c>
      <c r="M115" s="772" t="str">
        <f>IF(C115="","",VLOOKUP(C115,Table_ingredients[],10,FALSE))</f>
        <v/>
      </c>
      <c r="N115" s="767" t="str">
        <f>IF(C115="","",VLOOKUP(C115,Table_ingredients[],12,FALSE))</f>
        <v/>
      </c>
      <c r="O115" s="472" t="str">
        <f t="shared" si="30"/>
        <v>No</v>
      </c>
      <c r="P115" s="471">
        <f t="shared" si="27"/>
        <v>0</v>
      </c>
      <c r="Q115" s="475" t="str">
        <f>IF(C115="","",VLOOKUP(C115,Table_ingredients[],13,FALSE))</f>
        <v/>
      </c>
      <c r="R115" s="471">
        <f t="shared" si="28"/>
        <v>0</v>
      </c>
      <c r="S115" s="104"/>
      <c r="T115" s="120">
        <f t="shared" si="29"/>
        <v>0</v>
      </c>
      <c r="V115" s="59" t="s">
        <v>711</v>
      </c>
      <c r="W115" s="46">
        <v>0.17</v>
      </c>
      <c r="X115" s="46">
        <v>2.7000000000000003E-2</v>
      </c>
      <c r="Y115" s="46">
        <v>0.745</v>
      </c>
      <c r="Z115" s="46">
        <v>0.03</v>
      </c>
      <c r="AA115" s="46">
        <v>5.7999999999999996E-2</v>
      </c>
      <c r="AB115" s="46">
        <v>9.3999999999999986E-3</v>
      </c>
      <c r="AC115" s="46">
        <v>0.49</v>
      </c>
      <c r="AD115" s="46">
        <v>2.7200000000000002E-2</v>
      </c>
      <c r="AE115" s="46">
        <v>0.51</v>
      </c>
      <c r="AF115" s="59" t="s">
        <v>1576</v>
      </c>
      <c r="AG115" s="59"/>
      <c r="AH115" s="59" t="s">
        <v>1635</v>
      </c>
    </row>
    <row r="116" spans="2:34" x14ac:dyDescent="0.25">
      <c r="B116" s="13" t="s">
        <v>517</v>
      </c>
      <c r="C116" s="764"/>
      <c r="D116" s="773"/>
      <c r="E116" s="761" t="str">
        <f>IF(C116="","",VLOOKUP(C116,Table_ingredients[],2,FALSE))</f>
        <v/>
      </c>
      <c r="F116" s="761" t="str">
        <f>IF(C116="","",VLOOKUP(C116,Table_ingredients[],3,FALSE))</f>
        <v/>
      </c>
      <c r="G116" s="761" t="str">
        <f>IF(C116="","",VLOOKUP(C116,Table_ingredients[],4,FALSE))</f>
        <v/>
      </c>
      <c r="H116" s="761" t="str">
        <f>IF(C116="","",VLOOKUP(C116,Table_ingredients[],5,FALSE))</f>
        <v/>
      </c>
      <c r="I116" s="761" t="str">
        <f>IF(C116="","",VLOOKUP(C116,Table_ingredients[],6,FALSE))</f>
        <v/>
      </c>
      <c r="J116" s="761" t="str">
        <f>IF(C116="","",VLOOKUP(C116,Table_ingredients[],7,FALSE))</f>
        <v/>
      </c>
      <c r="K116" s="761" t="str">
        <f>IF(C116="","",VLOOKUP(C116,Table_ingredients[],8,FALSE))</f>
        <v/>
      </c>
      <c r="L116" s="474" t="str">
        <f>IF(C116="","",VLOOKUP(C116,Table_ingredients[],9,FALSE))</f>
        <v/>
      </c>
      <c r="M116" s="772" t="str">
        <f>IF(C116="","",VLOOKUP(C116,Table_ingredients[],10,FALSE))</f>
        <v/>
      </c>
      <c r="N116" s="767" t="str">
        <f>IF(C116="","",VLOOKUP(C116,Table_ingredients[],12,FALSE))</f>
        <v/>
      </c>
      <c r="O116" s="472" t="str">
        <f t="shared" si="30"/>
        <v>No</v>
      </c>
      <c r="P116" s="471">
        <f t="shared" si="27"/>
        <v>0</v>
      </c>
      <c r="Q116" s="475" t="str">
        <f>IF(C116="","",VLOOKUP(C116,Table_ingredients[],13,FALSE))</f>
        <v/>
      </c>
      <c r="R116" s="471">
        <f t="shared" si="28"/>
        <v>0</v>
      </c>
      <c r="S116" s="104"/>
      <c r="T116" s="120">
        <f t="shared" si="29"/>
        <v>0</v>
      </c>
      <c r="V116" s="59" t="s">
        <v>712</v>
      </c>
      <c r="W116" s="46">
        <v>7.4999999999999997E-2</v>
      </c>
      <c r="X116" s="46">
        <v>0.03</v>
      </c>
      <c r="Y116" s="46">
        <v>0.88</v>
      </c>
      <c r="Z116" s="46">
        <v>0.1</v>
      </c>
      <c r="AA116" s="46">
        <v>1.4999999999999999E-2</v>
      </c>
      <c r="AB116" s="46">
        <v>2.8000000000000004E-3</v>
      </c>
      <c r="AC116" s="46">
        <v>0.12</v>
      </c>
      <c r="AD116" s="46">
        <v>1.2E-2</v>
      </c>
      <c r="AE116" s="46">
        <v>0.88</v>
      </c>
      <c r="AF116" s="59" t="s">
        <v>1576</v>
      </c>
      <c r="AG116" s="59"/>
      <c r="AH116" s="59" t="s">
        <v>1635</v>
      </c>
    </row>
    <row r="117" spans="2:34" x14ac:dyDescent="0.25">
      <c r="B117" s="13" t="s">
        <v>518</v>
      </c>
      <c r="C117" s="764"/>
      <c r="D117" s="773"/>
      <c r="E117" s="761" t="str">
        <f>IF(C117="","",VLOOKUP(C117,Table_ingredients[],2,FALSE))</f>
        <v/>
      </c>
      <c r="F117" s="761" t="str">
        <f>IF(C117="","",VLOOKUP(C117,Table_ingredients[],3,FALSE))</f>
        <v/>
      </c>
      <c r="G117" s="761" t="str">
        <f>IF(C117="","",VLOOKUP(C117,Table_ingredients[],4,FALSE))</f>
        <v/>
      </c>
      <c r="H117" s="761" t="str">
        <f>IF(C117="","",VLOOKUP(C117,Table_ingredients[],5,FALSE))</f>
        <v/>
      </c>
      <c r="I117" s="761" t="str">
        <f>IF(C117="","",VLOOKUP(C117,Table_ingredients[],6,FALSE))</f>
        <v/>
      </c>
      <c r="J117" s="761" t="str">
        <f>IF(C117="","",VLOOKUP(C117,Table_ingredients[],7,FALSE))</f>
        <v/>
      </c>
      <c r="K117" s="761" t="str">
        <f>IF(C117="","",VLOOKUP(C117,Table_ingredients[],8,FALSE))</f>
        <v/>
      </c>
      <c r="L117" s="474" t="str">
        <f>IF(C117="","",VLOOKUP(C117,Table_ingredients[],9,FALSE))</f>
        <v/>
      </c>
      <c r="M117" s="772" t="str">
        <f>IF(C117="","",VLOOKUP(C117,Table_ingredients[],10,FALSE))</f>
        <v/>
      </c>
      <c r="N117" s="767" t="str">
        <f>IF(C117="","",VLOOKUP(C117,Table_ingredients[],12,FALSE))</f>
        <v/>
      </c>
      <c r="O117" s="472" t="str">
        <f t="shared" si="30"/>
        <v>No</v>
      </c>
      <c r="P117" s="471">
        <f t="shared" si="27"/>
        <v>0</v>
      </c>
      <c r="Q117" s="475" t="str">
        <f>IF(C117="","",VLOOKUP(C117,Table_ingredients[],13,FALSE))</f>
        <v/>
      </c>
      <c r="R117" s="471">
        <f t="shared" si="28"/>
        <v>0</v>
      </c>
      <c r="S117" s="104"/>
      <c r="T117" s="120">
        <f t="shared" si="29"/>
        <v>0</v>
      </c>
      <c r="V117" s="59" t="s">
        <v>713</v>
      </c>
      <c r="W117" s="46">
        <v>8.5999999999999993E-2</v>
      </c>
      <c r="X117" s="46">
        <v>3.5000000000000003E-2</v>
      </c>
      <c r="Y117" s="46">
        <v>0.8660000000000001</v>
      </c>
      <c r="Z117" s="46">
        <v>1.8000000000000002E-2</v>
      </c>
      <c r="AA117" s="46">
        <v>1.3000000000000001E-2</v>
      </c>
      <c r="AB117" s="46">
        <v>2.5999999999999999E-3</v>
      </c>
      <c r="AC117" s="46">
        <v>0.12700000000000003</v>
      </c>
      <c r="AD117" s="46">
        <v>1.376E-2</v>
      </c>
      <c r="AE117" s="46">
        <v>0.873</v>
      </c>
      <c r="AF117" s="59" t="s">
        <v>1576</v>
      </c>
      <c r="AG117" s="59"/>
      <c r="AH117" s="59" t="s">
        <v>1635</v>
      </c>
    </row>
    <row r="118" spans="2:34" x14ac:dyDescent="0.25">
      <c r="B118" s="13" t="s">
        <v>520</v>
      </c>
      <c r="C118" s="764"/>
      <c r="D118" s="773"/>
      <c r="E118" s="761" t="str">
        <f>IF(C118="","",VLOOKUP(C118,Table_ingredients[],2,FALSE))</f>
        <v/>
      </c>
      <c r="F118" s="761" t="str">
        <f>IF(C118="","",VLOOKUP(C118,Table_ingredients[],3,FALSE))</f>
        <v/>
      </c>
      <c r="G118" s="761" t="str">
        <f>IF(C118="","",VLOOKUP(C118,Table_ingredients[],4,FALSE))</f>
        <v/>
      </c>
      <c r="H118" s="761" t="str">
        <f>IF(C118="","",VLOOKUP(C118,Table_ingredients[],5,FALSE))</f>
        <v/>
      </c>
      <c r="I118" s="761" t="str">
        <f>IF(C118="","",VLOOKUP(C118,Table_ingredients[],6,FALSE))</f>
        <v/>
      </c>
      <c r="J118" s="761" t="str">
        <f>IF(C118="","",VLOOKUP(C118,Table_ingredients[],7,FALSE))</f>
        <v/>
      </c>
      <c r="K118" s="761" t="str">
        <f>IF(C118="","",VLOOKUP(C118,Table_ingredients[],8,FALSE))</f>
        <v/>
      </c>
      <c r="L118" s="474" t="str">
        <f>IF(C118="","",VLOOKUP(C118,Table_ingredients[],9,FALSE))</f>
        <v/>
      </c>
      <c r="M118" s="772" t="str">
        <f>IF(C118="","",VLOOKUP(C118,Table_ingredients[],10,FALSE))</f>
        <v/>
      </c>
      <c r="N118" s="767" t="str">
        <f>IF(C118="","",VLOOKUP(C118,Table_ingredients[],12,FALSE))</f>
        <v/>
      </c>
      <c r="O118" s="472" t="str">
        <f t="shared" si="30"/>
        <v>No</v>
      </c>
      <c r="P118" s="471">
        <f t="shared" si="27"/>
        <v>0</v>
      </c>
      <c r="Q118" s="475" t="str">
        <f>IF(C118="","",VLOOKUP(C118,Table_ingredients[],13,FALSE))</f>
        <v/>
      </c>
      <c r="R118" s="471">
        <f t="shared" si="28"/>
        <v>0</v>
      </c>
      <c r="S118" s="104"/>
      <c r="T118" s="120">
        <f t="shared" si="29"/>
        <v>0</v>
      </c>
      <c r="V118" s="59" t="s">
        <v>715</v>
      </c>
      <c r="W118" s="46">
        <v>8.4000000000000005E-2</v>
      </c>
      <c r="X118" s="46">
        <v>4.4999999999999998E-2</v>
      </c>
      <c r="Y118" s="46">
        <v>0.85899999999999987</v>
      </c>
      <c r="Z118" s="46">
        <v>2.1000000000000001E-2</v>
      </c>
      <c r="AA118" s="46">
        <v>1.2E-2</v>
      </c>
      <c r="AB118" s="46">
        <v>2.3E-3</v>
      </c>
      <c r="AC118" s="46">
        <v>0.12799999999999997</v>
      </c>
      <c r="AD118" s="46">
        <v>1.3440000000000001E-2</v>
      </c>
      <c r="AE118" s="46">
        <v>0.872</v>
      </c>
      <c r="AF118" s="59" t="s">
        <v>1576</v>
      </c>
      <c r="AG118" s="59"/>
      <c r="AH118" s="59" t="s">
        <v>1635</v>
      </c>
    </row>
    <row r="119" spans="2:34" x14ac:dyDescent="0.25">
      <c r="B119" s="13" t="s">
        <v>521</v>
      </c>
      <c r="C119" s="764"/>
      <c r="D119" s="774"/>
      <c r="E119" s="761" t="str">
        <f>IF(C119="","",VLOOKUP(C119,Table_ingredients[],2,FALSE))</f>
        <v/>
      </c>
      <c r="F119" s="761" t="str">
        <f>IF(C119="","",VLOOKUP(C119,Table_ingredients[],3,FALSE))</f>
        <v/>
      </c>
      <c r="G119" s="761" t="str">
        <f>IF(C119="","",VLOOKUP(C119,Table_ingredients[],4,FALSE))</f>
        <v/>
      </c>
      <c r="H119" s="761" t="str">
        <f>IF(C119="","",VLOOKUP(C119,Table_ingredients[],5,FALSE))</f>
        <v/>
      </c>
      <c r="I119" s="761" t="str">
        <f>IF(C119="","",VLOOKUP(C119,Table_ingredients[],6,FALSE))</f>
        <v/>
      </c>
      <c r="J119" s="761" t="str">
        <f>IF(C119="","",VLOOKUP(C119,Table_ingredients[],7,FALSE))</f>
        <v/>
      </c>
      <c r="K119" s="761" t="str">
        <f>IF(C119="","",VLOOKUP(C119,Table_ingredients[],8,FALSE))</f>
        <v/>
      </c>
      <c r="L119" s="474" t="str">
        <f>IF(C119="","",VLOOKUP(C119,Table_ingredients[],9,FALSE))</f>
        <v/>
      </c>
      <c r="M119" s="772" t="str">
        <f>IF(C119="","",VLOOKUP(C119,Table_ingredients[],10,FALSE))</f>
        <v/>
      </c>
      <c r="N119" s="767" t="str">
        <f>IF(C119="","",VLOOKUP(C119,Table_ingredients[],12,FALSE))</f>
        <v/>
      </c>
      <c r="O119" s="472" t="str">
        <f t="shared" si="30"/>
        <v>No</v>
      </c>
      <c r="P119" s="471">
        <f t="shared" si="27"/>
        <v>0</v>
      </c>
      <c r="Q119" s="475" t="str">
        <f>IF(C119="","",VLOOKUP(C119,Table_ingredients[],13,FALSE))</f>
        <v/>
      </c>
      <c r="R119" s="471">
        <f t="shared" si="28"/>
        <v>0</v>
      </c>
      <c r="S119" s="104"/>
      <c r="T119" s="120">
        <f t="shared" si="29"/>
        <v>0</v>
      </c>
      <c r="V119" s="59" t="s">
        <v>716</v>
      </c>
      <c r="W119" s="46">
        <v>8.3000000000000004E-2</v>
      </c>
      <c r="X119" s="46">
        <v>6.2E-2</v>
      </c>
      <c r="Y119" s="46">
        <v>0.84299999999999997</v>
      </c>
      <c r="Z119" s="46">
        <v>2.3E-2</v>
      </c>
      <c r="AA119" s="46">
        <v>1.2E-2</v>
      </c>
      <c r="AB119" s="46">
        <v>2.7000000000000001E-3</v>
      </c>
      <c r="AC119" s="46">
        <v>0.12599999999999995</v>
      </c>
      <c r="AD119" s="46">
        <v>1.328E-2</v>
      </c>
      <c r="AE119" s="46">
        <v>0.87400000000000011</v>
      </c>
      <c r="AF119" s="59" t="s">
        <v>1576</v>
      </c>
      <c r="AG119" s="59"/>
      <c r="AH119" s="59" t="s">
        <v>1635</v>
      </c>
    </row>
    <row r="120" spans="2:34" x14ac:dyDescent="0.25">
      <c r="B120" s="13" t="s">
        <v>522</v>
      </c>
      <c r="C120" s="764"/>
      <c r="D120" s="774"/>
      <c r="E120" s="761" t="str">
        <f>IF(C120="","",VLOOKUP(C120,Table_ingredients[],2,FALSE))</f>
        <v/>
      </c>
      <c r="F120" s="761" t="str">
        <f>IF(C120="","",VLOOKUP(C120,Table_ingredients[],3,FALSE))</f>
        <v/>
      </c>
      <c r="G120" s="761" t="str">
        <f>IF(C120="","",VLOOKUP(C120,Table_ingredients[],4,FALSE))</f>
        <v/>
      </c>
      <c r="H120" s="761" t="str">
        <f>IF(C120="","",VLOOKUP(C120,Table_ingredients[],5,FALSE))</f>
        <v/>
      </c>
      <c r="I120" s="761" t="str">
        <f>IF(C120="","",VLOOKUP(C120,Table_ingredients[],6,FALSE))</f>
        <v/>
      </c>
      <c r="J120" s="761" t="str">
        <f>IF(C120="","",VLOOKUP(C120,Table_ingredients[],7,FALSE))</f>
        <v/>
      </c>
      <c r="K120" s="761" t="str">
        <f>IF(C120="","",VLOOKUP(C120,Table_ingredients[],8,FALSE))</f>
        <v/>
      </c>
      <c r="L120" s="474" t="str">
        <f>IF(C120="","",VLOOKUP(C120,Table_ingredients[],9,FALSE))</f>
        <v/>
      </c>
      <c r="M120" s="772" t="str">
        <f>IF(C120="","",VLOOKUP(C120,Table_ingredients[],10,FALSE))</f>
        <v/>
      </c>
      <c r="N120" s="767" t="str">
        <f>IF(C120="","",VLOOKUP(C120,Table_ingredients[],12,FALSE))</f>
        <v/>
      </c>
      <c r="O120" s="472" t="str">
        <f t="shared" si="30"/>
        <v>No</v>
      </c>
      <c r="P120" s="471">
        <f t="shared" si="27"/>
        <v>0</v>
      </c>
      <c r="Q120" s="475" t="str">
        <f>IF(C120="","",VLOOKUP(C120,Table_ingredients[],13,FALSE))</f>
        <v/>
      </c>
      <c r="R120" s="471">
        <f t="shared" si="28"/>
        <v>0</v>
      </c>
      <c r="S120" s="104"/>
      <c r="T120" s="120">
        <f t="shared" si="29"/>
        <v>0</v>
      </c>
      <c r="V120" s="59" t="s">
        <v>717</v>
      </c>
      <c r="W120" s="46">
        <v>0.10199999999999999</v>
      </c>
      <c r="X120" s="46">
        <v>5.5E-2</v>
      </c>
      <c r="Y120" s="46">
        <v>0.82200000000000006</v>
      </c>
      <c r="Z120" s="46">
        <v>5.2999999999999999E-2</v>
      </c>
      <c r="AA120" s="46">
        <v>2.1000000000000001E-2</v>
      </c>
      <c r="AB120" s="46">
        <v>2.5999999999999999E-3</v>
      </c>
      <c r="AC120" s="46">
        <v>0.11200000000000003</v>
      </c>
      <c r="AD120" s="46">
        <v>1.6319999999999998E-2</v>
      </c>
      <c r="AE120" s="46">
        <v>0.88800000000000001</v>
      </c>
      <c r="AF120" s="59" t="s">
        <v>1576</v>
      </c>
      <c r="AG120" s="59"/>
      <c r="AH120" s="59" t="s">
        <v>1635</v>
      </c>
    </row>
    <row r="121" spans="2:34" x14ac:dyDescent="0.25">
      <c r="B121" s="13" t="s">
        <v>523</v>
      </c>
      <c r="C121" s="764"/>
      <c r="D121" s="774"/>
      <c r="E121" s="761" t="str">
        <f>IF(C121="","",VLOOKUP(C121,Table_ingredients[],2,FALSE))</f>
        <v/>
      </c>
      <c r="F121" s="761" t="str">
        <f>IF(C121="","",VLOOKUP(C121,Table_ingredients[],3,FALSE))</f>
        <v/>
      </c>
      <c r="G121" s="761" t="str">
        <f>IF(C121="","",VLOOKUP(C121,Table_ingredients[],4,FALSE))</f>
        <v/>
      </c>
      <c r="H121" s="761" t="str">
        <f>IF(C121="","",VLOOKUP(C121,Table_ingredients[],5,FALSE))</f>
        <v/>
      </c>
      <c r="I121" s="761" t="str">
        <f>IF(C121="","",VLOOKUP(C121,Table_ingredients[],6,FALSE))</f>
        <v/>
      </c>
      <c r="J121" s="761" t="str">
        <f>IF(C121="","",VLOOKUP(C121,Table_ingredients[],7,FALSE))</f>
        <v/>
      </c>
      <c r="K121" s="761" t="str">
        <f>IF(C121="","",VLOOKUP(C121,Table_ingredients[],8,FALSE))</f>
        <v/>
      </c>
      <c r="L121" s="474" t="str">
        <f>IF(C121="","",VLOOKUP(C121,Table_ingredients[],9,FALSE))</f>
        <v/>
      </c>
      <c r="M121" s="772" t="str">
        <f>IF(C121="","",VLOOKUP(C121,Table_ingredients[],10,FALSE))</f>
        <v/>
      </c>
      <c r="N121" s="767" t="str">
        <f>IF(C121="","",VLOOKUP(C121,Table_ingredients[],12,FALSE))</f>
        <v/>
      </c>
      <c r="O121" s="472" t="str">
        <f t="shared" si="30"/>
        <v>No</v>
      </c>
      <c r="P121" s="471">
        <f t="shared" si="27"/>
        <v>0</v>
      </c>
      <c r="Q121" s="475" t="str">
        <f>IF(C121="","",VLOOKUP(C121,Table_ingredients[],13,FALSE))</f>
        <v/>
      </c>
      <c r="R121" s="471">
        <f t="shared" si="28"/>
        <v>0</v>
      </c>
      <c r="S121" s="104"/>
      <c r="T121" s="120">
        <f t="shared" si="29"/>
        <v>0</v>
      </c>
      <c r="V121" s="59" t="s">
        <v>714</v>
      </c>
      <c r="W121" s="46">
        <v>7.2000000000000008E-2</v>
      </c>
      <c r="X121" s="46">
        <v>2.4E-2</v>
      </c>
      <c r="Y121" s="46">
        <v>0.8859999999999999</v>
      </c>
      <c r="Z121" s="46">
        <v>0.08</v>
      </c>
      <c r="AA121" s="46">
        <v>1.8000000000000002E-2</v>
      </c>
      <c r="AB121" s="46">
        <v>2.8000000000000004E-3</v>
      </c>
      <c r="AC121" s="46">
        <v>0.11799999999999997</v>
      </c>
      <c r="AD121" s="46">
        <v>1.1520000000000001E-2</v>
      </c>
      <c r="AE121" s="46">
        <v>0.88200000000000001</v>
      </c>
      <c r="AF121" s="59" t="s">
        <v>1576</v>
      </c>
      <c r="AG121" s="59"/>
      <c r="AH121" s="59" t="s">
        <v>1635</v>
      </c>
    </row>
    <row r="122" spans="2:34" x14ac:dyDescent="0.25">
      <c r="B122" s="13" t="s">
        <v>1057</v>
      </c>
      <c r="C122" s="764"/>
      <c r="D122" s="774"/>
      <c r="E122" s="761" t="str">
        <f>IF(C122="","",VLOOKUP(C122,Table_ingredients[],2,FALSE))</f>
        <v/>
      </c>
      <c r="F122" s="761" t="str">
        <f>IF(C122="","",VLOOKUP(C122,Table_ingredients[],3,FALSE))</f>
        <v/>
      </c>
      <c r="G122" s="761" t="str">
        <f>IF(C122="","",VLOOKUP(C122,Table_ingredients[],4,FALSE))</f>
        <v/>
      </c>
      <c r="H122" s="761" t="str">
        <f>IF(C122="","",VLOOKUP(C122,Table_ingredients[],5,FALSE))</f>
        <v/>
      </c>
      <c r="I122" s="761" t="str">
        <f>IF(C122="","",VLOOKUP(C122,Table_ingredients[],6,FALSE))</f>
        <v/>
      </c>
      <c r="J122" s="761" t="str">
        <f>IF(C122="","",VLOOKUP(C122,Table_ingredients[],7,FALSE))</f>
        <v/>
      </c>
      <c r="K122" s="761" t="str">
        <f>IF(C122="","",VLOOKUP(C122,Table_ingredients[],8,FALSE))</f>
        <v/>
      </c>
      <c r="L122" s="474" t="str">
        <f>IF(C122="","",VLOOKUP(C122,Table_ingredients[],9,FALSE))</f>
        <v/>
      </c>
      <c r="M122" s="772" t="str">
        <f>IF(C122="","",VLOOKUP(C122,Table_ingredients[],10,FALSE))</f>
        <v/>
      </c>
      <c r="N122" s="767" t="str">
        <f>IF(C122="","",VLOOKUP(C122,Table_ingredients[],12,FALSE))</f>
        <v/>
      </c>
      <c r="O122" s="472" t="str">
        <f t="shared" si="30"/>
        <v>No</v>
      </c>
      <c r="P122" s="471">
        <f t="shared" si="27"/>
        <v>0</v>
      </c>
      <c r="Q122" s="475" t="str">
        <f>IF(C122="","",VLOOKUP(C122,Table_ingredients[],13,FALSE))</f>
        <v/>
      </c>
      <c r="R122" s="471">
        <f t="shared" si="28"/>
        <v>0</v>
      </c>
      <c r="S122" s="104"/>
      <c r="T122" s="120">
        <f t="shared" si="29"/>
        <v>0</v>
      </c>
      <c r="V122" s="59" t="s">
        <v>1695</v>
      </c>
      <c r="W122" s="46">
        <v>0.41</v>
      </c>
      <c r="X122" s="46">
        <v>1.3999999999999999E-2</v>
      </c>
      <c r="Y122" s="46">
        <v>0.51100000000000001</v>
      </c>
      <c r="Z122" s="46">
        <v>0.41100000000000003</v>
      </c>
      <c r="AA122" s="46">
        <v>6.5000000000000002E-2</v>
      </c>
      <c r="AB122" s="46">
        <v>0.01</v>
      </c>
      <c r="AC122" s="46">
        <v>0.09</v>
      </c>
      <c r="AD122" s="46">
        <v>6.5599999999999992E-2</v>
      </c>
      <c r="AE122" s="46">
        <v>0.91</v>
      </c>
      <c r="AF122" s="59" t="s">
        <v>526</v>
      </c>
      <c r="AG122" s="59"/>
      <c r="AH122" s="59" t="s">
        <v>1635</v>
      </c>
    </row>
    <row r="123" spans="2:34" x14ac:dyDescent="0.25">
      <c r="B123" s="13" t="s">
        <v>1058</v>
      </c>
      <c r="C123" s="764"/>
      <c r="D123" s="774"/>
      <c r="E123" s="761" t="str">
        <f>IF(C123="","",VLOOKUP(C123,Table_ingredients[],2,FALSE))</f>
        <v/>
      </c>
      <c r="F123" s="761" t="str">
        <f>IF(C123="","",VLOOKUP(C123,Table_ingredients[],3,FALSE))</f>
        <v/>
      </c>
      <c r="G123" s="761" t="str">
        <f>IF(C123="","",VLOOKUP(C123,Table_ingredients[],4,FALSE))</f>
        <v/>
      </c>
      <c r="H123" s="761" t="str">
        <f>IF(C123="","",VLOOKUP(C123,Table_ingredients[],5,FALSE))</f>
        <v/>
      </c>
      <c r="I123" s="761" t="str">
        <f>IF(C123="","",VLOOKUP(C123,Table_ingredients[],6,FALSE))</f>
        <v/>
      </c>
      <c r="J123" s="761" t="str">
        <f>IF(C123="","",VLOOKUP(C123,Table_ingredients[],7,FALSE))</f>
        <v/>
      </c>
      <c r="K123" s="761" t="str">
        <f>IF(C123="","",VLOOKUP(C123,Table_ingredients[],8,FALSE))</f>
        <v/>
      </c>
      <c r="L123" s="474" t="str">
        <f>IF(C123="","",VLOOKUP(C123,Table_ingredients[],9,FALSE))</f>
        <v/>
      </c>
      <c r="M123" s="772" t="str">
        <f>IF(C123="","",VLOOKUP(C123,Table_ingredients[],10,FALSE))</f>
        <v/>
      </c>
      <c r="N123" s="767" t="str">
        <f>IF(C123="","",VLOOKUP(C123,Table_ingredients[],12,FALSE))</f>
        <v/>
      </c>
      <c r="O123" s="472" t="str">
        <f t="shared" si="30"/>
        <v>No</v>
      </c>
      <c r="P123" s="471">
        <f t="shared" si="27"/>
        <v>0</v>
      </c>
      <c r="Q123" s="475" t="str">
        <f>IF(C123="","",VLOOKUP(C123,Table_ingredients[],13,FALSE))</f>
        <v/>
      </c>
      <c r="R123" s="471">
        <f t="shared" si="28"/>
        <v>0</v>
      </c>
      <c r="S123" s="104"/>
      <c r="T123" s="120">
        <f t="shared" si="29"/>
        <v>0</v>
      </c>
      <c r="V123" s="59" t="s">
        <v>720</v>
      </c>
      <c r="W123" s="46">
        <v>0.04</v>
      </c>
      <c r="X123" s="46">
        <v>2.6000000000000002E-2</v>
      </c>
      <c r="Y123" s="46">
        <v>0.90900000000000003</v>
      </c>
      <c r="Z123" s="46">
        <v>0.435</v>
      </c>
      <c r="AA123" s="46">
        <v>2.5000000000000001E-2</v>
      </c>
      <c r="AB123" s="46">
        <v>1E-3</v>
      </c>
      <c r="AC123" s="46">
        <v>9.900000000000006E-2</v>
      </c>
      <c r="AD123" s="46">
        <v>6.4000000000000003E-3</v>
      </c>
      <c r="AE123" s="46">
        <v>0.90099999999999991</v>
      </c>
      <c r="AF123" s="59" t="s">
        <v>1576</v>
      </c>
      <c r="AG123" s="59"/>
      <c r="AH123" s="59" t="s">
        <v>1635</v>
      </c>
    </row>
    <row r="124" spans="2:34" x14ac:dyDescent="0.25">
      <c r="B124" s="13" t="s">
        <v>1059</v>
      </c>
      <c r="C124" s="764"/>
      <c r="D124" s="774"/>
      <c r="E124" s="761" t="str">
        <f>IF(C124="","",VLOOKUP(C124,Table_ingredients[],2,FALSE))</f>
        <v/>
      </c>
      <c r="F124" s="761" t="str">
        <f>IF(C124="","",VLOOKUP(C124,Table_ingredients[],3,FALSE))</f>
        <v/>
      </c>
      <c r="G124" s="761" t="str">
        <f>IF(C124="","",VLOOKUP(C124,Table_ingredients[],4,FALSE))</f>
        <v/>
      </c>
      <c r="H124" s="761" t="str">
        <f>IF(C124="","",VLOOKUP(C124,Table_ingredients[],5,FALSE))</f>
        <v/>
      </c>
      <c r="I124" s="761" t="str">
        <f>IF(C124="","",VLOOKUP(C124,Table_ingredients[],6,FALSE))</f>
        <v/>
      </c>
      <c r="J124" s="761" t="str">
        <f>IF(C124="","",VLOOKUP(C124,Table_ingredients[],7,FALSE))</f>
        <v/>
      </c>
      <c r="K124" s="761" t="str">
        <f>IF(C124="","",VLOOKUP(C124,Table_ingredients[],8,FALSE))</f>
        <v/>
      </c>
      <c r="L124" s="474" t="str">
        <f>IF(C124="","",VLOOKUP(C124,Table_ingredients[],9,FALSE))</f>
        <v/>
      </c>
      <c r="M124" s="772" t="str">
        <f>IF(C124="","",VLOOKUP(C124,Table_ingredients[],10,FALSE))</f>
        <v/>
      </c>
      <c r="N124" s="767" t="str">
        <f>IF(C124="","",VLOOKUP(C124,Table_ingredients[],12,FALSE))</f>
        <v/>
      </c>
      <c r="O124" s="472" t="str">
        <f t="shared" si="30"/>
        <v>No</v>
      </c>
      <c r="P124" s="471">
        <f t="shared" si="27"/>
        <v>0</v>
      </c>
      <c r="Q124" s="475" t="str">
        <f>IF(C124="","",VLOOKUP(C124,Table_ingredients[],13,FALSE))</f>
        <v/>
      </c>
      <c r="R124" s="471">
        <f t="shared" si="28"/>
        <v>0</v>
      </c>
      <c r="S124" s="104"/>
      <c r="T124" s="120">
        <f t="shared" si="29"/>
        <v>0</v>
      </c>
      <c r="V124" s="59" t="s">
        <v>721</v>
      </c>
      <c r="W124" s="46">
        <v>0.22399999999999998</v>
      </c>
      <c r="X124" s="46">
        <v>5.2000000000000005E-2</v>
      </c>
      <c r="Y124" s="46">
        <v>0.66899999999999993</v>
      </c>
      <c r="Z124" s="46">
        <v>0.22600000000000001</v>
      </c>
      <c r="AA124" s="46">
        <v>5.5E-2</v>
      </c>
      <c r="AB124" s="46">
        <v>1.0800000000000001E-2</v>
      </c>
      <c r="AC124" s="46">
        <v>0.105</v>
      </c>
      <c r="AD124" s="46">
        <v>3.5839999999999997E-2</v>
      </c>
      <c r="AE124" s="46">
        <v>0.89500000000000002</v>
      </c>
      <c r="AF124" s="59" t="s">
        <v>1576</v>
      </c>
      <c r="AG124" s="59"/>
      <c r="AH124" s="59" t="s">
        <v>1635</v>
      </c>
    </row>
    <row r="125" spans="2:34" x14ac:dyDescent="0.25">
      <c r="B125" s="13" t="s">
        <v>1060</v>
      </c>
      <c r="C125" s="764"/>
      <c r="D125" s="774"/>
      <c r="E125" s="761" t="str">
        <f>IF(C125="","",VLOOKUP(C125,Table_ingredients[],2,FALSE))</f>
        <v/>
      </c>
      <c r="F125" s="761" t="str">
        <f>IF(C125="","",VLOOKUP(C125,Table_ingredients[],3,FALSE))</f>
        <v/>
      </c>
      <c r="G125" s="761" t="str">
        <f>IF(C125="","",VLOOKUP(C125,Table_ingredients[],4,FALSE))</f>
        <v/>
      </c>
      <c r="H125" s="761" t="str">
        <f>IF(C125="","",VLOOKUP(C125,Table_ingredients[],5,FALSE))</f>
        <v/>
      </c>
      <c r="I125" s="761" t="str">
        <f>IF(C125="","",VLOOKUP(C125,Table_ingredients[],6,FALSE))</f>
        <v/>
      </c>
      <c r="J125" s="761" t="str">
        <f>IF(C125="","",VLOOKUP(C125,Table_ingredients[],7,FALSE))</f>
        <v/>
      </c>
      <c r="K125" s="761" t="str">
        <f>IF(C125="","",VLOOKUP(C125,Table_ingredients[],8,FALSE))</f>
        <v/>
      </c>
      <c r="L125" s="474" t="str">
        <f>IF(C125="","",VLOOKUP(C125,Table_ingredients[],9,FALSE))</f>
        <v/>
      </c>
      <c r="M125" s="772" t="str">
        <f>IF(C125="","",VLOOKUP(C125,Table_ingredients[],10,FALSE))</f>
        <v/>
      </c>
      <c r="N125" s="767" t="str">
        <f>IF(C125="","",VLOOKUP(C125,Table_ingredients[],12,FALSE))</f>
        <v/>
      </c>
      <c r="O125" s="472" t="str">
        <f t="shared" si="30"/>
        <v>No</v>
      </c>
      <c r="P125" s="471">
        <f t="shared" si="27"/>
        <v>0</v>
      </c>
      <c r="Q125" s="475" t="str">
        <f>IF(C125="","",VLOOKUP(C125,Table_ingredients[],13,FALSE))</f>
        <v/>
      </c>
      <c r="R125" s="471">
        <f t="shared" si="28"/>
        <v>0</v>
      </c>
      <c r="S125" s="104"/>
      <c r="T125" s="120">
        <f t="shared" si="29"/>
        <v>0</v>
      </c>
      <c r="V125" s="59" t="s">
        <v>724</v>
      </c>
      <c r="W125" s="46">
        <v>0.32600000000000001</v>
      </c>
      <c r="X125" s="46">
        <v>2.2000000000000002E-2</v>
      </c>
      <c r="Y125" s="46">
        <v>0.59400000000000008</v>
      </c>
      <c r="Z125" s="46">
        <v>0.19899999999999998</v>
      </c>
      <c r="AA125" s="46">
        <v>5.7999999999999996E-2</v>
      </c>
      <c r="AB125" s="46">
        <v>9.5999999999999992E-3</v>
      </c>
      <c r="AC125" s="46">
        <v>0.10599999999999994</v>
      </c>
      <c r="AD125" s="46">
        <v>5.2160000000000005E-2</v>
      </c>
      <c r="AE125" s="46">
        <v>0.89400000000000002</v>
      </c>
      <c r="AF125" s="59" t="s">
        <v>1576</v>
      </c>
      <c r="AG125" s="59"/>
      <c r="AH125" s="59" t="s">
        <v>1635</v>
      </c>
    </row>
    <row r="126" spans="2:34" x14ac:dyDescent="0.25">
      <c r="B126" s="13" t="s">
        <v>1061</v>
      </c>
      <c r="C126" s="764"/>
      <c r="D126" s="774"/>
      <c r="E126" s="761" t="str">
        <f>IF(C126="","",VLOOKUP(C126,Table_ingredients[],2,FALSE))</f>
        <v/>
      </c>
      <c r="F126" s="761" t="str">
        <f>IF(C126="","",VLOOKUP(C126,Table_ingredients[],3,FALSE))</f>
        <v/>
      </c>
      <c r="G126" s="761" t="str">
        <f>IF(C126="","",VLOOKUP(C126,Table_ingredients[],4,FALSE))</f>
        <v/>
      </c>
      <c r="H126" s="761" t="str">
        <f>IF(C126="","",VLOOKUP(C126,Table_ingredients[],5,FALSE))</f>
        <v/>
      </c>
      <c r="I126" s="761" t="str">
        <f>IF(C126="","",VLOOKUP(C126,Table_ingredients[],6,FALSE))</f>
        <v/>
      </c>
      <c r="J126" s="761" t="str">
        <f>IF(C126="","",VLOOKUP(C126,Table_ingredients[],7,FALSE))</f>
        <v/>
      </c>
      <c r="K126" s="761" t="str">
        <f>IF(C126="","",VLOOKUP(C126,Table_ingredients[],8,FALSE))</f>
        <v/>
      </c>
      <c r="L126" s="474" t="str">
        <f>IF(C126="","",VLOOKUP(C126,Table_ingredients[],9,FALSE))</f>
        <v/>
      </c>
      <c r="M126" s="772" t="str">
        <f>IF(C126="","",VLOOKUP(C126,Table_ingredients[],10,FALSE))</f>
        <v/>
      </c>
      <c r="N126" s="767" t="str">
        <f>IF(C126="","",VLOOKUP(C126,Table_ingredients[],12,FALSE))</f>
        <v/>
      </c>
      <c r="O126" s="472" t="str">
        <f t="shared" si="30"/>
        <v>No</v>
      </c>
      <c r="P126" s="471">
        <f t="shared" si="27"/>
        <v>0</v>
      </c>
      <c r="Q126" s="475" t="str">
        <f>IF(C126="","",VLOOKUP(C126,Table_ingredients[],13,FALSE))</f>
        <v/>
      </c>
      <c r="R126" s="471">
        <f t="shared" si="28"/>
        <v>0</v>
      </c>
      <c r="S126" s="104"/>
      <c r="T126" s="120">
        <f t="shared" si="29"/>
        <v>0</v>
      </c>
      <c r="V126" s="59" t="s">
        <v>722</v>
      </c>
      <c r="W126" s="46">
        <v>0.36299999999999999</v>
      </c>
      <c r="X126" s="46">
        <v>7.400000000000001E-2</v>
      </c>
      <c r="Y126" s="46">
        <v>0.50600000000000001</v>
      </c>
      <c r="Z126" s="46">
        <v>0.125</v>
      </c>
      <c r="AA126" s="46">
        <v>5.7000000000000002E-2</v>
      </c>
      <c r="AB126" s="46">
        <v>8.3000000000000001E-3</v>
      </c>
      <c r="AC126" s="46">
        <v>0.12</v>
      </c>
      <c r="AD126" s="46">
        <v>5.808E-2</v>
      </c>
      <c r="AE126" s="46">
        <v>0.88</v>
      </c>
      <c r="AF126" s="59" t="s">
        <v>1576</v>
      </c>
      <c r="AG126" s="59"/>
      <c r="AH126" s="59" t="s">
        <v>1635</v>
      </c>
    </row>
    <row r="127" spans="2:34" ht="15.75" thickBot="1" x14ac:dyDescent="0.3">
      <c r="B127" s="16" t="s">
        <v>1062</v>
      </c>
      <c r="C127" s="765"/>
      <c r="D127" s="775"/>
      <c r="E127" s="776" t="str">
        <f>IF(C127="","",VLOOKUP(C127,Table_ingredients[],2,FALSE))</f>
        <v/>
      </c>
      <c r="F127" s="776" t="str">
        <f>IF(C127="","",VLOOKUP(C127,Table_ingredients[],3,FALSE))</f>
        <v/>
      </c>
      <c r="G127" s="776" t="str">
        <f>IF(C127="","",VLOOKUP(C127,Table_ingredients[],4,FALSE))</f>
        <v/>
      </c>
      <c r="H127" s="776" t="str">
        <f>IF(C127="","",VLOOKUP(C127,Table_ingredients[],5,FALSE))</f>
        <v/>
      </c>
      <c r="I127" s="776" t="str">
        <f>IF(C127="","",VLOOKUP(C127,Table_ingredients[],6,FALSE))</f>
        <v/>
      </c>
      <c r="J127" s="776" t="str">
        <f>IF(C127="","",VLOOKUP(C127,Table_ingredients[],7,FALSE))</f>
        <v/>
      </c>
      <c r="K127" s="776" t="str">
        <f>IF(C127="","",VLOOKUP(C127,Table_ingredients[],8,FALSE))</f>
        <v/>
      </c>
      <c r="L127" s="777" t="str">
        <f>IF(C127="","",VLOOKUP(C127,Table_ingredients[],9,FALSE))</f>
        <v/>
      </c>
      <c r="M127" s="778" t="str">
        <f>IF(C127="","",VLOOKUP(C127,Table_ingredients[],10,FALSE))</f>
        <v/>
      </c>
      <c r="N127" s="767" t="str">
        <f>IF(C127="","",VLOOKUP(C127,Table_ingredients[],12,FALSE))</f>
        <v/>
      </c>
      <c r="O127" s="479" t="str">
        <f t="shared" si="30"/>
        <v>No</v>
      </c>
      <c r="P127" s="478">
        <f t="shared" si="27"/>
        <v>0</v>
      </c>
      <c r="Q127" s="475" t="str">
        <f>IF(C127="","",VLOOKUP(C127,Table_ingredients[],13,FALSE))</f>
        <v/>
      </c>
      <c r="R127" s="478">
        <f t="shared" si="28"/>
        <v>0</v>
      </c>
      <c r="S127" s="477"/>
      <c r="T127" s="120">
        <f t="shared" si="29"/>
        <v>0</v>
      </c>
      <c r="V127" s="59" t="s">
        <v>730</v>
      </c>
      <c r="W127" s="46">
        <v>0.38</v>
      </c>
      <c r="X127" s="46">
        <v>5.0000000000000001E-3</v>
      </c>
      <c r="Y127" s="46">
        <v>0.54500000000000004</v>
      </c>
      <c r="Z127" s="46">
        <v>0.17</v>
      </c>
      <c r="AA127" s="46">
        <v>7.0000000000000007E-2</v>
      </c>
      <c r="AB127" s="46">
        <v>1.1000000000000001E-2</v>
      </c>
      <c r="AC127" s="46">
        <v>0.12</v>
      </c>
      <c r="AD127" s="46">
        <v>6.08E-2</v>
      </c>
      <c r="AE127" s="46">
        <v>0.88</v>
      </c>
      <c r="AF127" s="59" t="s">
        <v>1576</v>
      </c>
      <c r="AG127" s="59"/>
      <c r="AH127" s="59" t="s">
        <v>1635</v>
      </c>
    </row>
    <row r="128" spans="2:34" ht="15.75" thickBot="1" x14ac:dyDescent="0.3">
      <c r="B128" s="26"/>
      <c r="C128" s="483" t="s">
        <v>1123</v>
      </c>
      <c r="D128" s="484">
        <f>SUM(D112:D127)</f>
        <v>0</v>
      </c>
      <c r="E128" s="759">
        <f>SUMPRODUCT($D$16:$D$31,E112:E127)</f>
        <v>0</v>
      </c>
      <c r="F128" s="759">
        <f t="shared" ref="F128:M128" si="31">SUMPRODUCT($D$16:$D$31,F112:F127)</f>
        <v>0</v>
      </c>
      <c r="G128" s="759">
        <f t="shared" si="31"/>
        <v>0</v>
      </c>
      <c r="H128" s="759">
        <f t="shared" si="31"/>
        <v>0</v>
      </c>
      <c r="I128" s="759">
        <f t="shared" si="31"/>
        <v>0</v>
      </c>
      <c r="J128" s="759">
        <f t="shared" si="31"/>
        <v>0</v>
      </c>
      <c r="K128" s="759">
        <f t="shared" si="31"/>
        <v>0</v>
      </c>
      <c r="L128" s="759">
        <f t="shared" si="31"/>
        <v>0</v>
      </c>
      <c r="M128" s="759">
        <f t="shared" si="31"/>
        <v>0</v>
      </c>
      <c r="N128" s="779"/>
      <c r="O128" s="780"/>
      <c r="P128" s="484">
        <f>SUM(P112:P127)</f>
        <v>0</v>
      </c>
      <c r="Q128" s="91"/>
      <c r="R128" s="485">
        <f>SUM(R112:R127)</f>
        <v>0</v>
      </c>
      <c r="S128" s="91"/>
      <c r="T128" s="486">
        <f>SUM(T112:T127)</f>
        <v>0</v>
      </c>
      <c r="V128" s="59" t="s">
        <v>723</v>
      </c>
      <c r="W128" s="46">
        <v>0.41100000000000003</v>
      </c>
      <c r="X128" s="46">
        <v>4.8000000000000001E-2</v>
      </c>
      <c r="Y128" s="46">
        <v>0.47899999999999998</v>
      </c>
      <c r="Z128" s="46">
        <v>0.125</v>
      </c>
      <c r="AA128" s="46">
        <v>6.2E-2</v>
      </c>
      <c r="AB128" s="46">
        <v>1.1000000000000001E-2</v>
      </c>
      <c r="AC128" s="46">
        <v>8.2999999999999977E-2</v>
      </c>
      <c r="AD128" s="46">
        <v>6.5759999999999999E-2</v>
      </c>
      <c r="AE128" s="46">
        <v>0.91700000000000004</v>
      </c>
      <c r="AF128" s="59" t="s">
        <v>1576</v>
      </c>
      <c r="AG128" s="59"/>
      <c r="AH128" s="59" t="s">
        <v>1635</v>
      </c>
    </row>
    <row r="129" spans="2:34" ht="15.75" thickBot="1" x14ac:dyDescent="0.3">
      <c r="B129" s="480"/>
      <c r="C129" s="481"/>
      <c r="D129" s="482" t="str">
        <f>IF(D128=100%,"OK","Not 100%")</f>
        <v>Not 100%</v>
      </c>
      <c r="E129" s="760"/>
      <c r="F129" s="760"/>
      <c r="G129" s="760"/>
      <c r="H129" s="760"/>
      <c r="I129" s="760"/>
      <c r="J129" s="760"/>
      <c r="K129" s="760"/>
      <c r="L129" s="846"/>
      <c r="M129" s="847"/>
      <c r="N129" s="847"/>
      <c r="O129" s="847"/>
      <c r="P129" s="847"/>
      <c r="Q129" s="847"/>
      <c r="R129" s="847"/>
      <c r="S129" s="847"/>
      <c r="T129" s="848"/>
      <c r="V129" s="59" t="s">
        <v>725</v>
      </c>
      <c r="W129" s="46">
        <v>0.41600000000000004</v>
      </c>
      <c r="X129" s="46">
        <v>1.4999999999999999E-2</v>
      </c>
      <c r="Y129" s="46">
        <v>0.504</v>
      </c>
      <c r="Z129" s="46">
        <v>0.125</v>
      </c>
      <c r="AA129" s="46">
        <v>6.5000000000000002E-2</v>
      </c>
      <c r="AB129" s="46">
        <v>1.06E-2</v>
      </c>
      <c r="AC129" s="46">
        <v>9.900000000000006E-2</v>
      </c>
      <c r="AD129" s="46">
        <v>6.6560000000000008E-2</v>
      </c>
      <c r="AE129" s="46">
        <v>0.90099999999999991</v>
      </c>
      <c r="AF129" s="59" t="s">
        <v>1576</v>
      </c>
      <c r="AG129" s="59"/>
      <c r="AH129" s="59" t="s">
        <v>1635</v>
      </c>
    </row>
    <row r="130" spans="2:34" ht="15.75" thickBot="1" x14ac:dyDescent="0.3">
      <c r="V130" s="59" t="s">
        <v>726</v>
      </c>
      <c r="W130" s="46">
        <v>0.47899999999999998</v>
      </c>
      <c r="X130" s="46">
        <v>1.7000000000000001E-2</v>
      </c>
      <c r="Y130" s="46">
        <v>0.43799999999999994</v>
      </c>
      <c r="Z130" s="46">
        <v>0.105</v>
      </c>
      <c r="AA130" s="46">
        <v>6.6000000000000003E-2</v>
      </c>
      <c r="AB130" s="46">
        <v>1.3000000000000001E-2</v>
      </c>
      <c r="AC130" s="46">
        <v>8.5999999999999938E-2</v>
      </c>
      <c r="AD130" s="46">
        <v>7.664E-2</v>
      </c>
      <c r="AE130" s="46">
        <v>0.91400000000000003</v>
      </c>
      <c r="AF130" s="59" t="s">
        <v>1576</v>
      </c>
      <c r="AG130" s="59"/>
      <c r="AH130" s="59" t="s">
        <v>1635</v>
      </c>
    </row>
    <row r="131" spans="2:34" ht="21.75" thickBot="1" x14ac:dyDescent="0.4">
      <c r="B131" s="860" t="s">
        <v>1473</v>
      </c>
      <c r="C131" s="861"/>
      <c r="D131" s="861"/>
      <c r="E131" s="861"/>
      <c r="F131" s="862"/>
      <c r="G131" s="862"/>
      <c r="H131" s="861"/>
      <c r="I131" s="861"/>
      <c r="J131" s="861"/>
      <c r="K131" s="861"/>
      <c r="L131" s="861"/>
      <c r="M131" s="861"/>
      <c r="N131" s="861"/>
      <c r="O131" s="861"/>
      <c r="P131" s="861"/>
      <c r="Q131" s="861"/>
      <c r="R131" s="861"/>
      <c r="S131" s="861"/>
      <c r="T131" s="863"/>
      <c r="V131" s="59" t="s">
        <v>728</v>
      </c>
      <c r="W131" s="46">
        <v>0.53</v>
      </c>
      <c r="X131" s="46">
        <v>1.6E-2</v>
      </c>
      <c r="Y131" s="46">
        <v>0.38400000000000001</v>
      </c>
      <c r="Z131" s="46">
        <v>0</v>
      </c>
      <c r="AA131" s="46">
        <v>7.0000000000000007E-2</v>
      </c>
      <c r="AB131" s="46">
        <v>1.24E-2</v>
      </c>
      <c r="AC131" s="46">
        <v>5.5E-2</v>
      </c>
      <c r="AD131" s="46">
        <v>8.48E-2</v>
      </c>
      <c r="AE131" s="46">
        <v>0.94499999999999995</v>
      </c>
      <c r="AF131" s="59" t="s">
        <v>1576</v>
      </c>
      <c r="AG131" s="59"/>
      <c r="AH131" s="59" t="s">
        <v>1635</v>
      </c>
    </row>
    <row r="132" spans="2:34" ht="15" customHeight="1" x14ac:dyDescent="0.25">
      <c r="B132" s="849" t="s">
        <v>1463</v>
      </c>
      <c r="C132" s="870"/>
      <c r="D132" s="873" t="s">
        <v>1193</v>
      </c>
      <c r="E132" s="875"/>
      <c r="F132" s="864" t="s">
        <v>1192</v>
      </c>
      <c r="G132" s="867"/>
      <c r="H132" s="877" t="s">
        <v>1188</v>
      </c>
      <c r="I132" s="491" t="s">
        <v>1464</v>
      </c>
      <c r="J132" s="495"/>
      <c r="K132" s="849" t="s">
        <v>1467</v>
      </c>
      <c r="L132" s="856" t="s">
        <v>1464</v>
      </c>
      <c r="M132" s="852"/>
      <c r="N132" s="853"/>
      <c r="O132" s="880"/>
      <c r="P132" s="881"/>
      <c r="Q132" s="881"/>
      <c r="R132" s="881"/>
      <c r="S132" s="881"/>
      <c r="T132" s="882"/>
      <c r="V132" s="59" t="s">
        <v>933</v>
      </c>
      <c r="W132" s="46">
        <v>0</v>
      </c>
      <c r="X132" s="46">
        <v>0.98</v>
      </c>
      <c r="Y132" s="46">
        <v>0.02</v>
      </c>
      <c r="Z132" s="46">
        <v>0</v>
      </c>
      <c r="AA132" s="46">
        <v>0</v>
      </c>
      <c r="AB132" s="46">
        <v>0</v>
      </c>
      <c r="AC132" s="46">
        <v>0.01</v>
      </c>
      <c r="AD132" s="46">
        <v>0</v>
      </c>
      <c r="AE132" s="46">
        <v>0.99</v>
      </c>
      <c r="AF132" s="59" t="s">
        <v>1576</v>
      </c>
      <c r="AG132" s="59"/>
      <c r="AH132" s="59" t="s">
        <v>1635</v>
      </c>
    </row>
    <row r="133" spans="2:34" x14ac:dyDescent="0.25">
      <c r="B133" s="850"/>
      <c r="C133" s="871"/>
      <c r="D133" s="874"/>
      <c r="E133" s="876"/>
      <c r="F133" s="865"/>
      <c r="G133" s="868"/>
      <c r="H133" s="878"/>
      <c r="I133" s="489" t="s">
        <v>1465</v>
      </c>
      <c r="J133" s="496"/>
      <c r="K133" s="850"/>
      <c r="L133" s="857"/>
      <c r="M133" s="854"/>
      <c r="N133" s="855"/>
      <c r="O133" s="883"/>
      <c r="P133" s="884"/>
      <c r="Q133" s="884"/>
      <c r="R133" s="884"/>
      <c r="S133" s="884"/>
      <c r="T133" s="885"/>
      <c r="V133" s="59" t="s">
        <v>727</v>
      </c>
      <c r="W133" s="46">
        <v>0.51100000000000001</v>
      </c>
      <c r="X133" s="46">
        <v>0.01</v>
      </c>
      <c r="Y133" s="46">
        <v>0.42199999999999993</v>
      </c>
      <c r="Z133" s="46">
        <v>6.9000000000000006E-2</v>
      </c>
      <c r="AA133" s="46">
        <v>5.7000000000000002E-2</v>
      </c>
      <c r="AB133" s="46">
        <v>8.8999999999999999E-3</v>
      </c>
      <c r="AC133" s="46">
        <v>0.08</v>
      </c>
      <c r="AD133" s="46">
        <v>8.1759999999999999E-2</v>
      </c>
      <c r="AE133" s="46">
        <v>0.92</v>
      </c>
      <c r="AF133" s="59" t="s">
        <v>1576</v>
      </c>
      <c r="AG133" s="59"/>
      <c r="AH133" s="59" t="s">
        <v>1635</v>
      </c>
    </row>
    <row r="134" spans="2:34" ht="15.75" thickBot="1" x14ac:dyDescent="0.3">
      <c r="B134" s="851"/>
      <c r="C134" s="872"/>
      <c r="D134" s="874"/>
      <c r="E134" s="876"/>
      <c r="F134" s="866"/>
      <c r="G134" s="869"/>
      <c r="H134" s="879"/>
      <c r="I134" s="490" t="s">
        <v>1466</v>
      </c>
      <c r="J134" s="497"/>
      <c r="K134" s="851"/>
      <c r="L134" s="490" t="s">
        <v>1468</v>
      </c>
      <c r="M134" s="858"/>
      <c r="N134" s="859"/>
      <c r="O134" s="886"/>
      <c r="P134" s="887"/>
      <c r="Q134" s="887"/>
      <c r="R134" s="887"/>
      <c r="S134" s="887"/>
      <c r="T134" s="888"/>
      <c r="V134" s="59" t="s">
        <v>729</v>
      </c>
      <c r="W134" s="46">
        <v>0.28000000000000003</v>
      </c>
      <c r="X134" s="46">
        <v>5.0000000000000001E-3</v>
      </c>
      <c r="Y134" s="46">
        <v>0.70700000000000007</v>
      </c>
      <c r="Z134" s="46">
        <v>0.23</v>
      </c>
      <c r="AA134" s="46">
        <v>8.0000000000000002E-3</v>
      </c>
      <c r="AB134" s="46">
        <v>9.5999999999999992E-3</v>
      </c>
      <c r="AC134" s="46">
        <v>0.1</v>
      </c>
      <c r="AD134" s="46">
        <v>4.4800000000000006E-2</v>
      </c>
      <c r="AE134" s="46">
        <v>0.9</v>
      </c>
      <c r="AF134" s="59" t="s">
        <v>1576</v>
      </c>
      <c r="AG134" s="59"/>
      <c r="AH134" s="59" t="s">
        <v>1635</v>
      </c>
    </row>
    <row r="135" spans="2:34" ht="45.75" thickBot="1" x14ac:dyDescent="0.3">
      <c r="B135" s="488"/>
      <c r="C135" s="762" t="s">
        <v>511</v>
      </c>
      <c r="D135" s="768" t="s">
        <v>512</v>
      </c>
      <c r="E135" s="769" t="s">
        <v>1479</v>
      </c>
      <c r="F135" s="492" t="s">
        <v>1571</v>
      </c>
      <c r="G135" s="492" t="s">
        <v>1636</v>
      </c>
      <c r="H135" s="769" t="s">
        <v>1573</v>
      </c>
      <c r="I135" s="769" t="s">
        <v>1574</v>
      </c>
      <c r="J135" s="769" t="s">
        <v>1090</v>
      </c>
      <c r="K135" s="769" t="s">
        <v>1575</v>
      </c>
      <c r="L135" s="769" t="s">
        <v>1041</v>
      </c>
      <c r="M135" s="770" t="s">
        <v>1046</v>
      </c>
      <c r="N135" s="766" t="s">
        <v>1063</v>
      </c>
      <c r="O135" s="492" t="s">
        <v>1067</v>
      </c>
      <c r="P135" s="492" t="s">
        <v>1066</v>
      </c>
      <c r="Q135" s="492" t="s">
        <v>519</v>
      </c>
      <c r="R135" s="492"/>
      <c r="S135" s="493" t="s">
        <v>1189</v>
      </c>
      <c r="T135" s="494" t="s">
        <v>1190</v>
      </c>
      <c r="V135" s="59" t="s">
        <v>640</v>
      </c>
      <c r="W135" s="46">
        <v>0.33</v>
      </c>
      <c r="X135" s="46">
        <v>3.4000000000000002E-2</v>
      </c>
      <c r="Y135" s="46">
        <v>0.28399999999999997</v>
      </c>
      <c r="Z135" s="46">
        <v>0.106</v>
      </c>
      <c r="AA135" s="46">
        <v>0.35200000000000004</v>
      </c>
      <c r="AB135" s="46">
        <v>1.5900000000000001E-2</v>
      </c>
      <c r="AC135" s="46">
        <v>5.7999999999999968E-2</v>
      </c>
      <c r="AD135" s="46">
        <v>5.28E-2</v>
      </c>
      <c r="AE135" s="46">
        <v>0.94200000000000006</v>
      </c>
      <c r="AF135" s="59" t="s">
        <v>1576</v>
      </c>
      <c r="AG135" s="59"/>
      <c r="AH135" s="59" t="s">
        <v>1635</v>
      </c>
    </row>
    <row r="136" spans="2:34" x14ac:dyDescent="0.25">
      <c r="B136" s="21" t="s">
        <v>513</v>
      </c>
      <c r="C136" s="763"/>
      <c r="D136" s="771"/>
      <c r="E136" s="761" t="str">
        <f>IF(C136="","",VLOOKUP(C136,Table_ingredients[],2,FALSE))</f>
        <v/>
      </c>
      <c r="F136" s="761" t="str">
        <f>IF(C136="","",VLOOKUP(C136,Table_ingredients[],3,FALSE))</f>
        <v/>
      </c>
      <c r="G136" s="761" t="str">
        <f>IF(C136="","",VLOOKUP(C136,Table_ingredients[],4,FALSE))</f>
        <v/>
      </c>
      <c r="H136" s="761" t="str">
        <f>IF(C136="","",VLOOKUP(C136,Table_ingredients[],5,FALSE))</f>
        <v/>
      </c>
      <c r="I136" s="761" t="str">
        <f>IF(C136="","",VLOOKUP(C136,Table_ingredients[],6,FALSE))</f>
        <v/>
      </c>
      <c r="J136" s="761" t="str">
        <f>IF(C136="","",VLOOKUP(C136,Table_ingredients[],7,FALSE))</f>
        <v/>
      </c>
      <c r="K136" s="761" t="str">
        <f>IF(C136="","",VLOOKUP(C136,Table_ingredients[],8,FALSE))</f>
        <v/>
      </c>
      <c r="L136" s="474" t="str">
        <f>IF(C136="","",VLOOKUP(C136,Table_ingredients[],9,FALSE))</f>
        <v/>
      </c>
      <c r="M136" s="772" t="str">
        <f>IF(C136="","",VLOOKUP(C136,Table_ingredients[],10,FALSE))</f>
        <v/>
      </c>
      <c r="N136" s="767" t="str">
        <f>IF(C136="","",VLOOKUP(C136,Table_ingredients[],12,FALSE))</f>
        <v/>
      </c>
      <c r="O136" s="476" t="str">
        <f>IF(N136=$C$3,"Yes","No")</f>
        <v>No</v>
      </c>
      <c r="P136" s="474">
        <f t="shared" ref="P136:P151" si="32">IF(O136="Yes",D136,0)</f>
        <v>0</v>
      </c>
      <c r="Q136" s="475" t="str">
        <f>IF(C136="","",VLOOKUP(C136,Table_ingredients[],13,FALSE))</f>
        <v/>
      </c>
      <c r="R136" s="474">
        <f t="shared" ref="R136:R151" si="33">IF(Q136="Yes",D136,0)</f>
        <v>0</v>
      </c>
      <c r="S136" s="109"/>
      <c r="T136" s="120">
        <f t="shared" ref="T136:T151" si="34">S136*D136*$C$12</f>
        <v>0</v>
      </c>
      <c r="V136" s="59" t="s">
        <v>1696</v>
      </c>
      <c r="W136" s="46">
        <v>0.20699999999999999</v>
      </c>
      <c r="X136" s="46">
        <v>0.01</v>
      </c>
      <c r="Y136" s="46">
        <v>0.753</v>
      </c>
      <c r="Z136" s="46">
        <v>0.16700000000000004</v>
      </c>
      <c r="AA136" s="46">
        <v>0.03</v>
      </c>
      <c r="AB136" s="46">
        <v>4.0000000000000001E-3</v>
      </c>
      <c r="AC136" s="46">
        <v>0.13599999999999995</v>
      </c>
      <c r="AD136" s="46">
        <v>3.3119999999999997E-2</v>
      </c>
      <c r="AE136" s="46">
        <v>0.8640000000000001</v>
      </c>
      <c r="AF136" s="59" t="s">
        <v>526</v>
      </c>
      <c r="AG136" s="59"/>
      <c r="AH136" s="59" t="s">
        <v>1635</v>
      </c>
    </row>
    <row r="137" spans="2:34" x14ac:dyDescent="0.25">
      <c r="B137" s="13" t="s">
        <v>514</v>
      </c>
      <c r="C137" s="764"/>
      <c r="D137" s="773"/>
      <c r="E137" s="761" t="str">
        <f>IF(C137="","",VLOOKUP(C137,Table_ingredients[],2,FALSE))</f>
        <v/>
      </c>
      <c r="F137" s="761" t="str">
        <f>IF(C137="","",VLOOKUP(C137,Table_ingredients[],3,FALSE))</f>
        <v/>
      </c>
      <c r="G137" s="761" t="str">
        <f>IF(C137="","",VLOOKUP(C137,Table_ingredients[],4,FALSE))</f>
        <v/>
      </c>
      <c r="H137" s="761" t="str">
        <f>IF(C137="","",VLOOKUP(C137,Table_ingredients[],5,FALSE))</f>
        <v/>
      </c>
      <c r="I137" s="761" t="str">
        <f>IF(C137="","",VLOOKUP(C137,Table_ingredients[],6,FALSE))</f>
        <v/>
      </c>
      <c r="J137" s="761" t="str">
        <f>IF(C137="","",VLOOKUP(C137,Table_ingredients[],7,FALSE))</f>
        <v/>
      </c>
      <c r="K137" s="761" t="str">
        <f>IF(C137="","",VLOOKUP(C137,Table_ingredients[],8,FALSE))</f>
        <v/>
      </c>
      <c r="L137" s="474" t="str">
        <f>IF(C137="","",VLOOKUP(C137,Table_ingredients[],9,FALSE))</f>
        <v/>
      </c>
      <c r="M137" s="772" t="str">
        <f>IF(C137="","",VLOOKUP(C137,Table_ingredients[],10,FALSE))</f>
        <v/>
      </c>
      <c r="N137" s="767" t="str">
        <f>IF(C137="","",VLOOKUP(C137,Table_ingredients[],12,FALSE))</f>
        <v/>
      </c>
      <c r="O137" s="472" t="str">
        <f t="shared" ref="O137:O151" si="35">IF(N137=$C$3,"Yes","No")</f>
        <v>No</v>
      </c>
      <c r="P137" s="471">
        <f t="shared" si="32"/>
        <v>0</v>
      </c>
      <c r="Q137" s="475" t="str">
        <f>IF(C137="","",VLOOKUP(C137,Table_ingredients[],13,FALSE))</f>
        <v/>
      </c>
      <c r="R137" s="471">
        <f t="shared" si="33"/>
        <v>0</v>
      </c>
      <c r="S137" s="104"/>
      <c r="T137" s="120">
        <f t="shared" si="34"/>
        <v>0</v>
      </c>
      <c r="V137" s="59" t="s">
        <v>903</v>
      </c>
      <c r="W137" s="46">
        <v>0.151</v>
      </c>
      <c r="X137" s="46">
        <v>0.53400000000000003</v>
      </c>
      <c r="Y137" s="46">
        <v>0.28000000000000008</v>
      </c>
      <c r="Z137" s="46">
        <v>0.13</v>
      </c>
      <c r="AA137" s="46">
        <v>3.5000000000000003E-2</v>
      </c>
      <c r="AB137" s="46">
        <v>2E-3</v>
      </c>
      <c r="AC137" s="46">
        <v>0.04</v>
      </c>
      <c r="AD137" s="46">
        <v>2.4160000000000001E-2</v>
      </c>
      <c r="AE137" s="46">
        <v>0.96</v>
      </c>
      <c r="AF137" s="59" t="s">
        <v>1576</v>
      </c>
      <c r="AG137" s="59"/>
      <c r="AH137" s="59" t="s">
        <v>1635</v>
      </c>
    </row>
    <row r="138" spans="2:34" x14ac:dyDescent="0.25">
      <c r="B138" s="13" t="s">
        <v>515</v>
      </c>
      <c r="C138" s="764"/>
      <c r="D138" s="773"/>
      <c r="E138" s="761" t="str">
        <f>IF(C138="","",VLOOKUP(C138,Table_ingredients[],2,FALSE))</f>
        <v/>
      </c>
      <c r="F138" s="761" t="str">
        <f>IF(C138="","",VLOOKUP(C138,Table_ingredients[],3,FALSE))</f>
        <v/>
      </c>
      <c r="G138" s="761" t="str">
        <f>IF(C138="","",VLOOKUP(C138,Table_ingredients[],4,FALSE))</f>
        <v/>
      </c>
      <c r="H138" s="761" t="str">
        <f>IF(C138="","",VLOOKUP(C138,Table_ingredients[],5,FALSE))</f>
        <v/>
      </c>
      <c r="I138" s="761" t="str">
        <f>IF(C138="","",VLOOKUP(C138,Table_ingredients[],6,FALSE))</f>
        <v/>
      </c>
      <c r="J138" s="761" t="str">
        <f>IF(C138="","",VLOOKUP(C138,Table_ingredients[],7,FALSE))</f>
        <v/>
      </c>
      <c r="K138" s="761" t="str">
        <f>IF(C138="","",VLOOKUP(C138,Table_ingredients[],8,FALSE))</f>
        <v/>
      </c>
      <c r="L138" s="474" t="str">
        <f>IF(C138="","",VLOOKUP(C138,Table_ingredients[],9,FALSE))</f>
        <v/>
      </c>
      <c r="M138" s="772" t="str">
        <f>IF(C138="","",VLOOKUP(C138,Table_ingredients[],10,FALSE))</f>
        <v/>
      </c>
      <c r="N138" s="767" t="str">
        <f>IF(C138="","",VLOOKUP(C138,Table_ingredients[],12,FALSE))</f>
        <v/>
      </c>
      <c r="O138" s="472" t="str">
        <f t="shared" si="35"/>
        <v>No</v>
      </c>
      <c r="P138" s="471">
        <f t="shared" si="32"/>
        <v>0</v>
      </c>
      <c r="Q138" s="475" t="str">
        <f>IF(C138="","",VLOOKUP(C138,Table_ingredients[],13,FALSE))</f>
        <v/>
      </c>
      <c r="R138" s="471">
        <f t="shared" si="33"/>
        <v>0</v>
      </c>
      <c r="S138" s="104"/>
      <c r="T138" s="120">
        <f t="shared" si="34"/>
        <v>0</v>
      </c>
      <c r="V138" s="59" t="s">
        <v>1580</v>
      </c>
      <c r="W138" s="46">
        <v>0</v>
      </c>
      <c r="X138" s="46">
        <v>0</v>
      </c>
      <c r="Y138" s="46">
        <v>0.01</v>
      </c>
      <c r="Z138" s="46">
        <v>0</v>
      </c>
      <c r="AA138" s="46">
        <v>0.99</v>
      </c>
      <c r="AB138" s="46">
        <v>0.22800000000000001</v>
      </c>
      <c r="AC138" s="46">
        <v>0.01</v>
      </c>
      <c r="AD138" s="46">
        <v>0</v>
      </c>
      <c r="AE138" s="46">
        <v>0.99</v>
      </c>
      <c r="AF138" s="59" t="s">
        <v>1576</v>
      </c>
      <c r="AG138" s="59"/>
      <c r="AH138" s="59" t="s">
        <v>1635</v>
      </c>
    </row>
    <row r="139" spans="2:34" x14ac:dyDescent="0.25">
      <c r="B139" s="13" t="s">
        <v>516</v>
      </c>
      <c r="C139" s="764"/>
      <c r="D139" s="773"/>
      <c r="E139" s="761" t="str">
        <f>IF(C139="","",VLOOKUP(C139,Table_ingredients[],2,FALSE))</f>
        <v/>
      </c>
      <c r="F139" s="761" t="str">
        <f>IF(C139="","",VLOOKUP(C139,Table_ingredients[],3,FALSE))</f>
        <v/>
      </c>
      <c r="G139" s="761" t="str">
        <f>IF(C139="","",VLOOKUP(C139,Table_ingredients[],4,FALSE))</f>
        <v/>
      </c>
      <c r="H139" s="761" t="str">
        <f>IF(C139="","",VLOOKUP(C139,Table_ingredients[],5,FALSE))</f>
        <v/>
      </c>
      <c r="I139" s="761" t="str">
        <f>IF(C139="","",VLOOKUP(C139,Table_ingredients[],6,FALSE))</f>
        <v/>
      </c>
      <c r="J139" s="761" t="str">
        <f>IF(C139="","",VLOOKUP(C139,Table_ingredients[],7,FALSE))</f>
        <v/>
      </c>
      <c r="K139" s="761" t="str">
        <f>IF(C139="","",VLOOKUP(C139,Table_ingredients[],8,FALSE))</f>
        <v/>
      </c>
      <c r="L139" s="474" t="str">
        <f>IF(C139="","",VLOOKUP(C139,Table_ingredients[],9,FALSE))</f>
        <v/>
      </c>
      <c r="M139" s="772" t="str">
        <f>IF(C139="","",VLOOKUP(C139,Table_ingredients[],10,FALSE))</f>
        <v/>
      </c>
      <c r="N139" s="767" t="str">
        <f>IF(C139="","",VLOOKUP(C139,Table_ingredients[],12,FALSE))</f>
        <v/>
      </c>
      <c r="O139" s="472" t="str">
        <f t="shared" si="35"/>
        <v>No</v>
      </c>
      <c r="P139" s="471">
        <f t="shared" si="32"/>
        <v>0</v>
      </c>
      <c r="Q139" s="475" t="str">
        <f>IF(C139="","",VLOOKUP(C139,Table_ingredients[],13,FALSE))</f>
        <v/>
      </c>
      <c r="R139" s="471">
        <f t="shared" si="33"/>
        <v>0</v>
      </c>
      <c r="S139" s="104"/>
      <c r="T139" s="120">
        <f t="shared" si="34"/>
        <v>0</v>
      </c>
      <c r="V139" s="59" t="s">
        <v>994</v>
      </c>
      <c r="W139" s="46">
        <v>0</v>
      </c>
      <c r="X139" s="46">
        <v>0</v>
      </c>
      <c r="Y139" s="46">
        <v>0.02</v>
      </c>
      <c r="Z139" s="46">
        <v>0</v>
      </c>
      <c r="AA139" s="46">
        <v>0.98</v>
      </c>
      <c r="AB139" s="46">
        <v>0.18</v>
      </c>
      <c r="AC139" s="46">
        <v>0.02</v>
      </c>
      <c r="AD139" s="46">
        <v>0</v>
      </c>
      <c r="AE139" s="46">
        <v>0.98</v>
      </c>
      <c r="AF139" s="59" t="s">
        <v>1576</v>
      </c>
      <c r="AG139" s="59"/>
      <c r="AH139" s="59" t="s">
        <v>1635</v>
      </c>
    </row>
    <row r="140" spans="2:34" x14ac:dyDescent="0.25">
      <c r="B140" s="13" t="s">
        <v>517</v>
      </c>
      <c r="C140" s="764"/>
      <c r="D140" s="773"/>
      <c r="E140" s="761" t="str">
        <f>IF(C140="","",VLOOKUP(C140,Table_ingredients[],2,FALSE))</f>
        <v/>
      </c>
      <c r="F140" s="761" t="str">
        <f>IF(C140="","",VLOOKUP(C140,Table_ingredients[],3,FALSE))</f>
        <v/>
      </c>
      <c r="G140" s="761" t="str">
        <f>IF(C140="","",VLOOKUP(C140,Table_ingredients[],4,FALSE))</f>
        <v/>
      </c>
      <c r="H140" s="761" t="str">
        <f>IF(C140="","",VLOOKUP(C140,Table_ingredients[],5,FALSE))</f>
        <v/>
      </c>
      <c r="I140" s="761" t="str">
        <f>IF(C140="","",VLOOKUP(C140,Table_ingredients[],6,FALSE))</f>
        <v/>
      </c>
      <c r="J140" s="761" t="str">
        <f>IF(C140="","",VLOOKUP(C140,Table_ingredients[],7,FALSE))</f>
        <v/>
      </c>
      <c r="K140" s="761" t="str">
        <f>IF(C140="","",VLOOKUP(C140,Table_ingredients[],8,FALSE))</f>
        <v/>
      </c>
      <c r="L140" s="474" t="str">
        <f>IF(C140="","",VLOOKUP(C140,Table_ingredients[],9,FALSE))</f>
        <v/>
      </c>
      <c r="M140" s="772" t="str">
        <f>IF(C140="","",VLOOKUP(C140,Table_ingredients[],10,FALSE))</f>
        <v/>
      </c>
      <c r="N140" s="767" t="str">
        <f>IF(C140="","",VLOOKUP(C140,Table_ingredients[],12,FALSE))</f>
        <v/>
      </c>
      <c r="O140" s="472" t="str">
        <f t="shared" si="35"/>
        <v>No</v>
      </c>
      <c r="P140" s="471">
        <f t="shared" si="32"/>
        <v>0</v>
      </c>
      <c r="Q140" s="475" t="str">
        <f>IF(C140="","",VLOOKUP(C140,Table_ingredients[],13,FALSE))</f>
        <v/>
      </c>
      <c r="R140" s="471">
        <f t="shared" si="33"/>
        <v>0</v>
      </c>
      <c r="S140" s="104"/>
      <c r="T140" s="120">
        <f t="shared" si="34"/>
        <v>0</v>
      </c>
      <c r="V140" s="59" t="s">
        <v>739</v>
      </c>
      <c r="W140" s="46">
        <v>0.16</v>
      </c>
      <c r="X140" s="46">
        <v>4.2000000000000003E-2</v>
      </c>
      <c r="Y140" s="46">
        <v>0.67299999999999993</v>
      </c>
      <c r="Z140" s="46">
        <v>0.18</v>
      </c>
      <c r="AA140" s="46">
        <v>0.125</v>
      </c>
      <c r="AB140" s="46">
        <v>7.6E-3</v>
      </c>
      <c r="AC140" s="46">
        <v>9.2000000000000026E-2</v>
      </c>
      <c r="AD140" s="46">
        <v>2.5600000000000001E-2</v>
      </c>
      <c r="AE140" s="46">
        <v>0.90799999999999992</v>
      </c>
      <c r="AF140" s="59" t="s">
        <v>1576</v>
      </c>
      <c r="AG140" s="59"/>
      <c r="AH140" s="59" t="s">
        <v>1635</v>
      </c>
    </row>
    <row r="141" spans="2:34" x14ac:dyDescent="0.25">
      <c r="B141" s="13" t="s">
        <v>518</v>
      </c>
      <c r="C141" s="764"/>
      <c r="D141" s="773"/>
      <c r="E141" s="761" t="str">
        <f>IF(C141="","",VLOOKUP(C141,Table_ingredients[],2,FALSE))</f>
        <v/>
      </c>
      <c r="F141" s="761" t="str">
        <f>IF(C141="","",VLOOKUP(C141,Table_ingredients[],3,FALSE))</f>
        <v/>
      </c>
      <c r="G141" s="761" t="str">
        <f>IF(C141="","",VLOOKUP(C141,Table_ingredients[],4,FALSE))</f>
        <v/>
      </c>
      <c r="H141" s="761" t="str">
        <f>IF(C141="","",VLOOKUP(C141,Table_ingredients[],5,FALSE))</f>
        <v/>
      </c>
      <c r="I141" s="761" t="str">
        <f>IF(C141="","",VLOOKUP(C141,Table_ingredients[],6,FALSE))</f>
        <v/>
      </c>
      <c r="J141" s="761" t="str">
        <f>IF(C141="","",VLOOKUP(C141,Table_ingredients[],7,FALSE))</f>
        <v/>
      </c>
      <c r="K141" s="761" t="str">
        <f>IF(C141="","",VLOOKUP(C141,Table_ingredients[],8,FALSE))</f>
        <v/>
      </c>
      <c r="L141" s="474" t="str">
        <f>IF(C141="","",VLOOKUP(C141,Table_ingredients[],9,FALSE))</f>
        <v/>
      </c>
      <c r="M141" s="772" t="str">
        <f>IF(C141="","",VLOOKUP(C141,Table_ingredients[],10,FALSE))</f>
        <v/>
      </c>
      <c r="N141" s="767" t="str">
        <f>IF(C141="","",VLOOKUP(C141,Table_ingredients[],12,FALSE))</f>
        <v/>
      </c>
      <c r="O141" s="472" t="str">
        <f t="shared" si="35"/>
        <v>No</v>
      </c>
      <c r="P141" s="471">
        <f t="shared" si="32"/>
        <v>0</v>
      </c>
      <c r="Q141" s="475" t="str">
        <f>IF(C141="","",VLOOKUP(C141,Table_ingredients[],13,FALSE))</f>
        <v/>
      </c>
      <c r="R141" s="471">
        <f t="shared" si="33"/>
        <v>0</v>
      </c>
      <c r="S141" s="104"/>
      <c r="T141" s="120">
        <f t="shared" si="34"/>
        <v>0</v>
      </c>
      <c r="V141" s="59" t="s">
        <v>731</v>
      </c>
      <c r="W141" s="46">
        <v>0.27300000000000002</v>
      </c>
      <c r="X141" s="46">
        <v>8.5000000000000006E-2</v>
      </c>
      <c r="Y141" s="46">
        <v>0.58599999999999997</v>
      </c>
      <c r="Z141" s="46">
        <v>0.08</v>
      </c>
      <c r="AA141" s="46">
        <v>5.5999999999999994E-2</v>
      </c>
      <c r="AB141" s="46">
        <v>7.4999999999999997E-3</v>
      </c>
      <c r="AC141" s="46">
        <v>9.7000000000000031E-2</v>
      </c>
      <c r="AD141" s="46">
        <v>4.3680000000000004E-2</v>
      </c>
      <c r="AE141" s="46">
        <v>0.90300000000000002</v>
      </c>
      <c r="AF141" s="59" t="s">
        <v>1576</v>
      </c>
      <c r="AG141" s="59"/>
      <c r="AH141" s="59" t="s">
        <v>1635</v>
      </c>
    </row>
    <row r="142" spans="2:34" x14ac:dyDescent="0.25">
      <c r="B142" s="13" t="s">
        <v>520</v>
      </c>
      <c r="C142" s="764"/>
      <c r="D142" s="773"/>
      <c r="E142" s="761" t="str">
        <f>IF(C142="","",VLOOKUP(C142,Table_ingredients[],2,FALSE))</f>
        <v/>
      </c>
      <c r="F142" s="761" t="str">
        <f>IF(C142="","",VLOOKUP(C142,Table_ingredients[],3,FALSE))</f>
        <v/>
      </c>
      <c r="G142" s="761" t="str">
        <f>IF(C142="","",VLOOKUP(C142,Table_ingredients[],4,FALSE))</f>
        <v/>
      </c>
      <c r="H142" s="761" t="str">
        <f>IF(C142="","",VLOOKUP(C142,Table_ingredients[],5,FALSE))</f>
        <v/>
      </c>
      <c r="I142" s="761" t="str">
        <f>IF(C142="","",VLOOKUP(C142,Table_ingredients[],6,FALSE))</f>
        <v/>
      </c>
      <c r="J142" s="761" t="str">
        <f>IF(C142="","",VLOOKUP(C142,Table_ingredients[],7,FALSE))</f>
        <v/>
      </c>
      <c r="K142" s="761" t="str">
        <f>IF(C142="","",VLOOKUP(C142,Table_ingredients[],8,FALSE))</f>
        <v/>
      </c>
      <c r="L142" s="474" t="str">
        <f>IF(C142="","",VLOOKUP(C142,Table_ingredients[],9,FALSE))</f>
        <v/>
      </c>
      <c r="M142" s="772" t="str">
        <f>IF(C142="","",VLOOKUP(C142,Table_ingredients[],10,FALSE))</f>
        <v/>
      </c>
      <c r="N142" s="767" t="str">
        <f>IF(C142="","",VLOOKUP(C142,Table_ingredients[],12,FALSE))</f>
        <v/>
      </c>
      <c r="O142" s="472" t="str">
        <f t="shared" si="35"/>
        <v>No</v>
      </c>
      <c r="P142" s="471">
        <f t="shared" si="32"/>
        <v>0</v>
      </c>
      <c r="Q142" s="475" t="str">
        <f>IF(C142="","",VLOOKUP(C142,Table_ingredients[],13,FALSE))</f>
        <v/>
      </c>
      <c r="R142" s="471">
        <f t="shared" si="33"/>
        <v>0</v>
      </c>
      <c r="S142" s="104"/>
      <c r="T142" s="120">
        <f t="shared" si="34"/>
        <v>0</v>
      </c>
      <c r="V142" s="59" t="s">
        <v>742</v>
      </c>
      <c r="W142" s="46">
        <v>0.29399999999999998</v>
      </c>
      <c r="X142" s="46">
        <v>0.128</v>
      </c>
      <c r="Y142" s="46">
        <v>0.52900000000000003</v>
      </c>
      <c r="Z142" s="46">
        <v>7.8E-2</v>
      </c>
      <c r="AA142" s="46">
        <v>4.9000000000000002E-2</v>
      </c>
      <c r="AB142" s="46">
        <v>6.9999999999999993E-3</v>
      </c>
      <c r="AC142" s="46">
        <v>0.11299999999999998</v>
      </c>
      <c r="AD142" s="46">
        <v>4.7039999999999998E-2</v>
      </c>
      <c r="AE142" s="46">
        <v>0.88700000000000001</v>
      </c>
      <c r="AF142" s="59" t="s">
        <v>1576</v>
      </c>
      <c r="AG142" s="59"/>
      <c r="AH142" s="59" t="s">
        <v>1635</v>
      </c>
    </row>
    <row r="143" spans="2:34" x14ac:dyDescent="0.25">
      <c r="B143" s="13" t="s">
        <v>521</v>
      </c>
      <c r="C143" s="764"/>
      <c r="D143" s="774"/>
      <c r="E143" s="761" t="str">
        <f>IF(C143="","",VLOOKUP(C143,Table_ingredients[],2,FALSE))</f>
        <v/>
      </c>
      <c r="F143" s="761" t="str">
        <f>IF(C143="","",VLOOKUP(C143,Table_ingredients[],3,FALSE))</f>
        <v/>
      </c>
      <c r="G143" s="761" t="str">
        <f>IF(C143="","",VLOOKUP(C143,Table_ingredients[],4,FALSE))</f>
        <v/>
      </c>
      <c r="H143" s="761" t="str">
        <f>IF(C143="","",VLOOKUP(C143,Table_ingredients[],5,FALSE))</f>
        <v/>
      </c>
      <c r="I143" s="761" t="str">
        <f>IF(C143="","",VLOOKUP(C143,Table_ingredients[],6,FALSE))</f>
        <v/>
      </c>
      <c r="J143" s="761" t="str">
        <f>IF(C143="","",VLOOKUP(C143,Table_ingredients[],7,FALSE))</f>
        <v/>
      </c>
      <c r="K143" s="761" t="str">
        <f>IF(C143="","",VLOOKUP(C143,Table_ingredients[],8,FALSE))</f>
        <v/>
      </c>
      <c r="L143" s="474" t="str">
        <f>IF(C143="","",VLOOKUP(C143,Table_ingredients[],9,FALSE))</f>
        <v/>
      </c>
      <c r="M143" s="772" t="str">
        <f>IF(C143="","",VLOOKUP(C143,Table_ingredients[],10,FALSE))</f>
        <v/>
      </c>
      <c r="N143" s="767" t="str">
        <f>IF(C143="","",VLOOKUP(C143,Table_ingredients[],12,FALSE))</f>
        <v/>
      </c>
      <c r="O143" s="472" t="str">
        <f t="shared" si="35"/>
        <v>No</v>
      </c>
      <c r="P143" s="471">
        <f t="shared" si="32"/>
        <v>0</v>
      </c>
      <c r="Q143" s="475" t="str">
        <f>IF(C143="","",VLOOKUP(C143,Table_ingredients[],13,FALSE))</f>
        <v/>
      </c>
      <c r="R143" s="471">
        <f t="shared" si="33"/>
        <v>0</v>
      </c>
      <c r="S143" s="104"/>
      <c r="T143" s="120">
        <f t="shared" si="34"/>
        <v>0</v>
      </c>
      <c r="V143" s="59" t="s">
        <v>732</v>
      </c>
      <c r="W143" s="46">
        <v>0.28999999999999998</v>
      </c>
      <c r="X143" s="46">
        <v>7.0000000000000007E-2</v>
      </c>
      <c r="Y143" s="46">
        <v>0.58499999999999996</v>
      </c>
      <c r="Z143" s="46">
        <v>7.0000000000000007E-2</v>
      </c>
      <c r="AA143" s="46">
        <v>5.5E-2</v>
      </c>
      <c r="AB143" s="46">
        <v>7.6E-3</v>
      </c>
      <c r="AC143" s="46">
        <v>0.12</v>
      </c>
      <c r="AD143" s="46">
        <v>4.6399999999999997E-2</v>
      </c>
      <c r="AE143" s="46">
        <v>0.88</v>
      </c>
      <c r="AF143" s="59" t="s">
        <v>1576</v>
      </c>
      <c r="AG143" s="59"/>
      <c r="AH143" s="59" t="s">
        <v>1635</v>
      </c>
    </row>
    <row r="144" spans="2:34" x14ac:dyDescent="0.25">
      <c r="B144" s="13" t="s">
        <v>522</v>
      </c>
      <c r="C144" s="764"/>
      <c r="D144" s="774"/>
      <c r="E144" s="761" t="str">
        <f>IF(C144="","",VLOOKUP(C144,Table_ingredients[],2,FALSE))</f>
        <v/>
      </c>
      <c r="F144" s="761" t="str">
        <f>IF(C144="","",VLOOKUP(C144,Table_ingredients[],3,FALSE))</f>
        <v/>
      </c>
      <c r="G144" s="761" t="str">
        <f>IF(C144="","",VLOOKUP(C144,Table_ingredients[],4,FALSE))</f>
        <v/>
      </c>
      <c r="H144" s="761" t="str">
        <f>IF(C144="","",VLOOKUP(C144,Table_ingredients[],5,FALSE))</f>
        <v/>
      </c>
      <c r="I144" s="761" t="str">
        <f>IF(C144="","",VLOOKUP(C144,Table_ingredients[],6,FALSE))</f>
        <v/>
      </c>
      <c r="J144" s="761" t="str">
        <f>IF(C144="","",VLOOKUP(C144,Table_ingredients[],7,FALSE))</f>
        <v/>
      </c>
      <c r="K144" s="761" t="str">
        <f>IF(C144="","",VLOOKUP(C144,Table_ingredients[],8,FALSE))</f>
        <v/>
      </c>
      <c r="L144" s="474" t="str">
        <f>IF(C144="","",VLOOKUP(C144,Table_ingredients[],9,FALSE))</f>
        <v/>
      </c>
      <c r="M144" s="772" t="str">
        <f>IF(C144="","",VLOOKUP(C144,Table_ingredients[],10,FALSE))</f>
        <v/>
      </c>
      <c r="N144" s="767" t="str">
        <f>IF(C144="","",VLOOKUP(C144,Table_ingredients[],12,FALSE))</f>
        <v/>
      </c>
      <c r="O144" s="472" t="str">
        <f t="shared" si="35"/>
        <v>No</v>
      </c>
      <c r="P144" s="471">
        <f t="shared" si="32"/>
        <v>0</v>
      </c>
      <c r="Q144" s="475" t="str">
        <f>IF(C144="","",VLOOKUP(C144,Table_ingredients[],13,FALSE))</f>
        <v/>
      </c>
      <c r="R144" s="471">
        <f t="shared" si="33"/>
        <v>0</v>
      </c>
      <c r="S144" s="104"/>
      <c r="T144" s="120">
        <f t="shared" si="34"/>
        <v>0</v>
      </c>
      <c r="V144" s="59" t="s">
        <v>741</v>
      </c>
      <c r="W144" s="46">
        <v>0.30399999999999999</v>
      </c>
      <c r="X144" s="46">
        <v>0.11800000000000001</v>
      </c>
      <c r="Y144" s="46">
        <v>0.53099999999999992</v>
      </c>
      <c r="Z144" s="46">
        <v>7.2000000000000008E-2</v>
      </c>
      <c r="AA144" s="46">
        <v>4.7E-2</v>
      </c>
      <c r="AB144" s="46">
        <v>6.9999999999999993E-3</v>
      </c>
      <c r="AC144" s="46">
        <v>0.10799999999999997</v>
      </c>
      <c r="AD144" s="46">
        <v>4.8639999999999996E-2</v>
      </c>
      <c r="AE144" s="46">
        <v>0.89200000000000002</v>
      </c>
      <c r="AF144" s="59" t="s">
        <v>1576</v>
      </c>
      <c r="AG144" s="59"/>
      <c r="AH144" s="59" t="s">
        <v>1635</v>
      </c>
    </row>
    <row r="145" spans="2:34" x14ac:dyDescent="0.25">
      <c r="B145" s="13" t="s">
        <v>523</v>
      </c>
      <c r="C145" s="764"/>
      <c r="D145" s="774"/>
      <c r="E145" s="761" t="str">
        <f>IF(C145="","",VLOOKUP(C145,Table_ingredients[],2,FALSE))</f>
        <v/>
      </c>
      <c r="F145" s="761" t="str">
        <f>IF(C145="","",VLOOKUP(C145,Table_ingredients[],3,FALSE))</f>
        <v/>
      </c>
      <c r="G145" s="761" t="str">
        <f>IF(C145="","",VLOOKUP(C145,Table_ingredients[],4,FALSE))</f>
        <v/>
      </c>
      <c r="H145" s="761" t="str">
        <f>IF(C145="","",VLOOKUP(C145,Table_ingredients[],5,FALSE))</f>
        <v/>
      </c>
      <c r="I145" s="761" t="str">
        <f>IF(C145="","",VLOOKUP(C145,Table_ingredients[],6,FALSE))</f>
        <v/>
      </c>
      <c r="J145" s="761" t="str">
        <f>IF(C145="","",VLOOKUP(C145,Table_ingredients[],7,FALSE))</f>
        <v/>
      </c>
      <c r="K145" s="761" t="str">
        <f>IF(C145="","",VLOOKUP(C145,Table_ingredients[],8,FALSE))</f>
        <v/>
      </c>
      <c r="L145" s="474" t="str">
        <f>IF(C145="","",VLOOKUP(C145,Table_ingredients[],9,FALSE))</f>
        <v/>
      </c>
      <c r="M145" s="772" t="str">
        <f>IF(C145="","",VLOOKUP(C145,Table_ingredients[],10,FALSE))</f>
        <v/>
      </c>
      <c r="N145" s="767" t="str">
        <f>IF(C145="","",VLOOKUP(C145,Table_ingredients[],12,FALSE))</f>
        <v/>
      </c>
      <c r="O145" s="472" t="str">
        <f t="shared" si="35"/>
        <v>No</v>
      </c>
      <c r="P145" s="471">
        <f t="shared" si="32"/>
        <v>0</v>
      </c>
      <c r="Q145" s="475" t="str">
        <f>IF(C145="","",VLOOKUP(C145,Table_ingredients[],13,FALSE))</f>
        <v/>
      </c>
      <c r="R145" s="471">
        <f t="shared" si="33"/>
        <v>0</v>
      </c>
      <c r="S145" s="104"/>
      <c r="T145" s="120">
        <f t="shared" si="34"/>
        <v>0</v>
      </c>
      <c r="V145" s="59" t="s">
        <v>733</v>
      </c>
      <c r="W145" s="46">
        <v>0.50900000000000001</v>
      </c>
      <c r="X145" s="46">
        <v>2.8999999999999998E-2</v>
      </c>
      <c r="Y145" s="46">
        <v>0.42300000000000004</v>
      </c>
      <c r="Z145" s="46">
        <v>0.03</v>
      </c>
      <c r="AA145" s="46">
        <v>3.9E-2</v>
      </c>
      <c r="AB145" s="46">
        <v>1.15E-2</v>
      </c>
      <c r="AC145" s="46">
        <v>0.02</v>
      </c>
      <c r="AD145" s="46">
        <v>8.1439999999999999E-2</v>
      </c>
      <c r="AE145" s="46">
        <v>0.98</v>
      </c>
      <c r="AF145" s="59" t="s">
        <v>1576</v>
      </c>
      <c r="AG145" s="59"/>
      <c r="AH145" s="59" t="s">
        <v>1635</v>
      </c>
    </row>
    <row r="146" spans="2:34" x14ac:dyDescent="0.25">
      <c r="B146" s="13" t="s">
        <v>1057</v>
      </c>
      <c r="C146" s="764"/>
      <c r="D146" s="774"/>
      <c r="E146" s="761" t="str">
        <f>IF(C146="","",VLOOKUP(C146,Table_ingredients[],2,FALSE))</f>
        <v/>
      </c>
      <c r="F146" s="761" t="str">
        <f>IF(C146="","",VLOOKUP(C146,Table_ingredients[],3,FALSE))</f>
        <v/>
      </c>
      <c r="G146" s="761" t="str">
        <f>IF(C146="","",VLOOKUP(C146,Table_ingredients[],4,FALSE))</f>
        <v/>
      </c>
      <c r="H146" s="761" t="str">
        <f>IF(C146="","",VLOOKUP(C146,Table_ingredients[],5,FALSE))</f>
        <v/>
      </c>
      <c r="I146" s="761" t="str">
        <f>IF(C146="","",VLOOKUP(C146,Table_ingredients[],6,FALSE))</f>
        <v/>
      </c>
      <c r="J146" s="761" t="str">
        <f>IF(C146="","",VLOOKUP(C146,Table_ingredients[],7,FALSE))</f>
        <v/>
      </c>
      <c r="K146" s="761" t="str">
        <f>IF(C146="","",VLOOKUP(C146,Table_ingredients[],8,FALSE))</f>
        <v/>
      </c>
      <c r="L146" s="474" t="str">
        <f>IF(C146="","",VLOOKUP(C146,Table_ingredients[],9,FALSE))</f>
        <v/>
      </c>
      <c r="M146" s="772" t="str">
        <f>IF(C146="","",VLOOKUP(C146,Table_ingredients[],10,FALSE))</f>
        <v/>
      </c>
      <c r="N146" s="767" t="str">
        <f>IF(C146="","",VLOOKUP(C146,Table_ingredients[],12,FALSE))</f>
        <v/>
      </c>
      <c r="O146" s="472" t="str">
        <f t="shared" si="35"/>
        <v>No</v>
      </c>
      <c r="P146" s="471">
        <f t="shared" si="32"/>
        <v>0</v>
      </c>
      <c r="Q146" s="475" t="str">
        <f>IF(C146="","",VLOOKUP(C146,Table_ingredients[],13,FALSE))</f>
        <v/>
      </c>
      <c r="R146" s="471">
        <f t="shared" si="33"/>
        <v>0</v>
      </c>
      <c r="S146" s="104"/>
      <c r="T146" s="120">
        <f t="shared" si="34"/>
        <v>0</v>
      </c>
      <c r="V146" s="59" t="s">
        <v>734</v>
      </c>
      <c r="W146" s="46">
        <v>0.27</v>
      </c>
      <c r="X146" s="46">
        <v>0.09</v>
      </c>
      <c r="Y146" s="46">
        <v>0.61799999999999999</v>
      </c>
      <c r="Z146" s="46">
        <v>0.13</v>
      </c>
      <c r="AA146" s="46">
        <v>2.2000000000000002E-2</v>
      </c>
      <c r="AB146" s="46">
        <v>7.8000000000000005E-3</v>
      </c>
      <c r="AC146" s="46">
        <v>0.08</v>
      </c>
      <c r="AD146" s="46">
        <v>4.3200000000000002E-2</v>
      </c>
      <c r="AE146" s="46">
        <v>0.92</v>
      </c>
      <c r="AF146" s="59" t="s">
        <v>1576</v>
      </c>
      <c r="AG146" s="59"/>
      <c r="AH146" s="59" t="s">
        <v>1635</v>
      </c>
    </row>
    <row r="147" spans="2:34" x14ac:dyDescent="0.25">
      <c r="B147" s="13" t="s">
        <v>1058</v>
      </c>
      <c r="C147" s="764"/>
      <c r="D147" s="774"/>
      <c r="E147" s="761" t="str">
        <f>IF(C147="","",VLOOKUP(C147,Table_ingredients[],2,FALSE))</f>
        <v/>
      </c>
      <c r="F147" s="761" t="str">
        <f>IF(C147="","",VLOOKUP(C147,Table_ingredients[],3,FALSE))</f>
        <v/>
      </c>
      <c r="G147" s="761" t="str">
        <f>IF(C147="","",VLOOKUP(C147,Table_ingredients[],4,FALSE))</f>
        <v/>
      </c>
      <c r="H147" s="761" t="str">
        <f>IF(C147="","",VLOOKUP(C147,Table_ingredients[],5,FALSE))</f>
        <v/>
      </c>
      <c r="I147" s="761" t="str">
        <f>IF(C147="","",VLOOKUP(C147,Table_ingredients[],6,FALSE))</f>
        <v/>
      </c>
      <c r="J147" s="761" t="str">
        <f>IF(C147="","",VLOOKUP(C147,Table_ingredients[],7,FALSE))</f>
        <v/>
      </c>
      <c r="K147" s="761" t="str">
        <f>IF(C147="","",VLOOKUP(C147,Table_ingredients[],8,FALSE))</f>
        <v/>
      </c>
      <c r="L147" s="474" t="str">
        <f>IF(C147="","",VLOOKUP(C147,Table_ingredients[],9,FALSE))</f>
        <v/>
      </c>
      <c r="M147" s="772" t="str">
        <f>IF(C147="","",VLOOKUP(C147,Table_ingredients[],10,FALSE))</f>
        <v/>
      </c>
      <c r="N147" s="767" t="str">
        <f>IF(C147="","",VLOOKUP(C147,Table_ingredients[],12,FALSE))</f>
        <v/>
      </c>
      <c r="O147" s="472" t="str">
        <f t="shared" si="35"/>
        <v>No</v>
      </c>
      <c r="P147" s="471">
        <f t="shared" si="32"/>
        <v>0</v>
      </c>
      <c r="Q147" s="475" t="str">
        <f>IF(C147="","",VLOOKUP(C147,Table_ingredients[],13,FALSE))</f>
        <v/>
      </c>
      <c r="R147" s="471">
        <f t="shared" si="33"/>
        <v>0</v>
      </c>
      <c r="S147" s="104"/>
      <c r="T147" s="120">
        <f t="shared" si="34"/>
        <v>0</v>
      </c>
      <c r="V147" s="59" t="s">
        <v>735</v>
      </c>
      <c r="W147" s="46">
        <v>0.38</v>
      </c>
      <c r="X147" s="46">
        <v>7.5999999999999998E-2</v>
      </c>
      <c r="Y147" s="46">
        <v>0.50600000000000001</v>
      </c>
      <c r="Z147" s="46">
        <v>5.2999999999999999E-2</v>
      </c>
      <c r="AA147" s="46">
        <v>3.7999999999999999E-2</v>
      </c>
      <c r="AB147" s="46">
        <v>3.8E-3</v>
      </c>
      <c r="AC147" s="46">
        <v>7.7999999999999972E-2</v>
      </c>
      <c r="AD147" s="46">
        <v>6.08E-2</v>
      </c>
      <c r="AE147" s="46">
        <v>0.92200000000000004</v>
      </c>
      <c r="AF147" s="59" t="s">
        <v>1576</v>
      </c>
      <c r="AG147" s="59"/>
      <c r="AH147" s="59" t="s">
        <v>1635</v>
      </c>
    </row>
    <row r="148" spans="2:34" x14ac:dyDescent="0.25">
      <c r="B148" s="13" t="s">
        <v>1059</v>
      </c>
      <c r="C148" s="764"/>
      <c r="D148" s="774"/>
      <c r="E148" s="761" t="str">
        <f>IF(C148="","",VLOOKUP(C148,Table_ingredients[],2,FALSE))</f>
        <v/>
      </c>
      <c r="F148" s="761" t="str">
        <f>IF(C148="","",VLOOKUP(C148,Table_ingredients[],3,FALSE))</f>
        <v/>
      </c>
      <c r="G148" s="761" t="str">
        <f>IF(C148="","",VLOOKUP(C148,Table_ingredients[],4,FALSE))</f>
        <v/>
      </c>
      <c r="H148" s="761" t="str">
        <f>IF(C148="","",VLOOKUP(C148,Table_ingredients[],5,FALSE))</f>
        <v/>
      </c>
      <c r="I148" s="761" t="str">
        <f>IF(C148="","",VLOOKUP(C148,Table_ingredients[],6,FALSE))</f>
        <v/>
      </c>
      <c r="J148" s="761" t="str">
        <f>IF(C148="","",VLOOKUP(C148,Table_ingredients[],7,FALSE))</f>
        <v/>
      </c>
      <c r="K148" s="761" t="str">
        <f>IF(C148="","",VLOOKUP(C148,Table_ingredients[],8,FALSE))</f>
        <v/>
      </c>
      <c r="L148" s="474" t="str">
        <f>IF(C148="","",VLOOKUP(C148,Table_ingredients[],9,FALSE))</f>
        <v/>
      </c>
      <c r="M148" s="772" t="str">
        <f>IF(C148="","",VLOOKUP(C148,Table_ingredients[],10,FALSE))</f>
        <v/>
      </c>
      <c r="N148" s="767" t="str">
        <f>IF(C148="","",VLOOKUP(C148,Table_ingredients[],12,FALSE))</f>
        <v/>
      </c>
      <c r="O148" s="472" t="str">
        <f t="shared" si="35"/>
        <v>No</v>
      </c>
      <c r="P148" s="471">
        <f t="shared" si="32"/>
        <v>0</v>
      </c>
      <c r="Q148" s="475" t="str">
        <f>IF(C148="","",VLOOKUP(C148,Table_ingredients[],13,FALSE))</f>
        <v/>
      </c>
      <c r="R148" s="471">
        <f t="shared" si="33"/>
        <v>0</v>
      </c>
      <c r="S148" s="104"/>
      <c r="T148" s="120">
        <f t="shared" si="34"/>
        <v>0</v>
      </c>
      <c r="V148" s="59" t="s">
        <v>736</v>
      </c>
      <c r="W148" s="46">
        <v>0.12</v>
      </c>
      <c r="X148" s="46">
        <v>3.1E-2</v>
      </c>
      <c r="Y148" s="46">
        <v>0.82300000000000006</v>
      </c>
      <c r="Z148" s="46">
        <v>0.05</v>
      </c>
      <c r="AA148" s="46">
        <v>2.6000000000000002E-2</v>
      </c>
      <c r="AB148" s="46">
        <v>4.1999999999999997E-3</v>
      </c>
      <c r="AC148" s="46">
        <v>0.58399999999999996</v>
      </c>
      <c r="AD148" s="46">
        <v>1.9199999999999998E-2</v>
      </c>
      <c r="AE148" s="46">
        <v>0.41600000000000004</v>
      </c>
      <c r="AF148" s="59" t="s">
        <v>1576</v>
      </c>
      <c r="AG148" s="59"/>
      <c r="AH148" s="59" t="s">
        <v>1635</v>
      </c>
    </row>
    <row r="149" spans="2:34" x14ac:dyDescent="0.25">
      <c r="B149" s="13" t="s">
        <v>1060</v>
      </c>
      <c r="C149" s="764"/>
      <c r="D149" s="774"/>
      <c r="E149" s="761" t="str">
        <f>IF(C149="","",VLOOKUP(C149,Table_ingredients[],2,FALSE))</f>
        <v/>
      </c>
      <c r="F149" s="761" t="str">
        <f>IF(C149="","",VLOOKUP(C149,Table_ingredients[],3,FALSE))</f>
        <v/>
      </c>
      <c r="G149" s="761" t="str">
        <f>IF(C149="","",VLOOKUP(C149,Table_ingredients[],4,FALSE))</f>
        <v/>
      </c>
      <c r="H149" s="761" t="str">
        <f>IF(C149="","",VLOOKUP(C149,Table_ingredients[],5,FALSE))</f>
        <v/>
      </c>
      <c r="I149" s="761" t="str">
        <f>IF(C149="","",VLOOKUP(C149,Table_ingredients[],6,FALSE))</f>
        <v/>
      </c>
      <c r="J149" s="761" t="str">
        <f>IF(C149="","",VLOOKUP(C149,Table_ingredients[],7,FALSE))</f>
        <v/>
      </c>
      <c r="K149" s="761" t="str">
        <f>IF(C149="","",VLOOKUP(C149,Table_ingredients[],8,FALSE))</f>
        <v/>
      </c>
      <c r="L149" s="474" t="str">
        <f>IF(C149="","",VLOOKUP(C149,Table_ingredients[],9,FALSE))</f>
        <v/>
      </c>
      <c r="M149" s="772" t="str">
        <f>IF(C149="","",VLOOKUP(C149,Table_ingredients[],10,FALSE))</f>
        <v/>
      </c>
      <c r="N149" s="767" t="str">
        <f>IF(C149="","",VLOOKUP(C149,Table_ingredients[],12,FALSE))</f>
        <v/>
      </c>
      <c r="O149" s="472" t="str">
        <f t="shared" si="35"/>
        <v>No</v>
      </c>
      <c r="P149" s="471">
        <f t="shared" si="32"/>
        <v>0</v>
      </c>
      <c r="Q149" s="475" t="str">
        <f>IF(C149="","",VLOOKUP(C149,Table_ingredients[],13,FALSE))</f>
        <v/>
      </c>
      <c r="R149" s="471">
        <f t="shared" si="33"/>
        <v>0</v>
      </c>
      <c r="S149" s="104"/>
      <c r="T149" s="120">
        <f t="shared" si="34"/>
        <v>0</v>
      </c>
      <c r="V149" s="59" t="s">
        <v>738</v>
      </c>
      <c r="W149" s="46">
        <v>0.16399999999999998</v>
      </c>
      <c r="X149" s="46">
        <v>3.7999999999999999E-2</v>
      </c>
      <c r="Y149" s="46">
        <v>0.73299999999999998</v>
      </c>
      <c r="Z149" s="46">
        <v>6.5000000000000002E-2</v>
      </c>
      <c r="AA149" s="46">
        <v>6.5000000000000002E-2</v>
      </c>
      <c r="AB149" s="46">
        <v>7.6E-3</v>
      </c>
      <c r="AC149" s="46">
        <v>0.10700000000000003</v>
      </c>
      <c r="AD149" s="46">
        <v>2.6239999999999996E-2</v>
      </c>
      <c r="AE149" s="46">
        <v>0.89300000000000002</v>
      </c>
      <c r="AF149" s="59" t="s">
        <v>1576</v>
      </c>
      <c r="AG149" s="59"/>
      <c r="AH149" s="59" t="s">
        <v>1635</v>
      </c>
    </row>
    <row r="150" spans="2:34" x14ac:dyDescent="0.25">
      <c r="B150" s="13" t="s">
        <v>1061</v>
      </c>
      <c r="C150" s="764"/>
      <c r="D150" s="774"/>
      <c r="E150" s="761" t="str">
        <f>IF(C150="","",VLOOKUP(C150,Table_ingredients[],2,FALSE))</f>
        <v/>
      </c>
      <c r="F150" s="761" t="str">
        <f>IF(C150="","",VLOOKUP(C150,Table_ingredients[],3,FALSE))</f>
        <v/>
      </c>
      <c r="G150" s="761" t="str">
        <f>IF(C150="","",VLOOKUP(C150,Table_ingredients[],4,FALSE))</f>
        <v/>
      </c>
      <c r="H150" s="761" t="str">
        <f>IF(C150="","",VLOOKUP(C150,Table_ingredients[],5,FALSE))</f>
        <v/>
      </c>
      <c r="I150" s="761" t="str">
        <f>IF(C150="","",VLOOKUP(C150,Table_ingredients[],6,FALSE))</f>
        <v/>
      </c>
      <c r="J150" s="761" t="str">
        <f>IF(C150="","",VLOOKUP(C150,Table_ingredients[],7,FALSE))</f>
        <v/>
      </c>
      <c r="K150" s="761" t="str">
        <f>IF(C150="","",VLOOKUP(C150,Table_ingredients[],8,FALSE))</f>
        <v/>
      </c>
      <c r="L150" s="474" t="str">
        <f>IF(C150="","",VLOOKUP(C150,Table_ingredients[],9,FALSE))</f>
        <v/>
      </c>
      <c r="M150" s="772" t="str">
        <f>IF(C150="","",VLOOKUP(C150,Table_ingredients[],10,FALSE))</f>
        <v/>
      </c>
      <c r="N150" s="767" t="str">
        <f>IF(C150="","",VLOOKUP(C150,Table_ingredients[],12,FALSE))</f>
        <v/>
      </c>
      <c r="O150" s="472" t="str">
        <f t="shared" si="35"/>
        <v>No</v>
      </c>
      <c r="P150" s="471">
        <f t="shared" si="32"/>
        <v>0</v>
      </c>
      <c r="Q150" s="475" t="str">
        <f>IF(C150="","",VLOOKUP(C150,Table_ingredients[],13,FALSE))</f>
        <v/>
      </c>
      <c r="R150" s="471">
        <f t="shared" si="33"/>
        <v>0</v>
      </c>
      <c r="S150" s="104"/>
      <c r="T150" s="120">
        <f t="shared" si="34"/>
        <v>0</v>
      </c>
      <c r="V150" s="59" t="s">
        <v>737</v>
      </c>
      <c r="W150" s="46">
        <v>0.35399999999999998</v>
      </c>
      <c r="X150" s="46">
        <v>5.5999999999999994E-2</v>
      </c>
      <c r="Y150" s="46">
        <v>0.53999999999999992</v>
      </c>
      <c r="Z150" s="46">
        <v>8.5000000000000006E-2</v>
      </c>
      <c r="AA150" s="46">
        <v>0.05</v>
      </c>
      <c r="AB150" s="46">
        <v>9.1000000000000004E-3</v>
      </c>
      <c r="AC150" s="46">
        <v>8.2999999999999977E-2</v>
      </c>
      <c r="AD150" s="46">
        <v>5.6639999999999996E-2</v>
      </c>
      <c r="AE150" s="46">
        <v>0.91700000000000004</v>
      </c>
      <c r="AF150" s="59" t="s">
        <v>1576</v>
      </c>
      <c r="AG150" s="59"/>
      <c r="AH150" s="59" t="s">
        <v>1635</v>
      </c>
    </row>
    <row r="151" spans="2:34" ht="15.75" thickBot="1" x14ac:dyDescent="0.3">
      <c r="B151" s="16" t="s">
        <v>1062</v>
      </c>
      <c r="C151" s="765"/>
      <c r="D151" s="775"/>
      <c r="E151" s="776" t="str">
        <f>IF(C151="","",VLOOKUP(C151,Table_ingredients[],2,FALSE))</f>
        <v/>
      </c>
      <c r="F151" s="776" t="str">
        <f>IF(C151="","",VLOOKUP(C151,Table_ingredients[],3,FALSE))</f>
        <v/>
      </c>
      <c r="G151" s="776" t="str">
        <f>IF(C151="","",VLOOKUP(C151,Table_ingredients[],4,FALSE))</f>
        <v/>
      </c>
      <c r="H151" s="776" t="str">
        <f>IF(C151="","",VLOOKUP(C151,Table_ingredients[],5,FALSE))</f>
        <v/>
      </c>
      <c r="I151" s="776" t="str">
        <f>IF(C151="","",VLOOKUP(C151,Table_ingredients[],6,FALSE))</f>
        <v/>
      </c>
      <c r="J151" s="776" t="str">
        <f>IF(C151="","",VLOOKUP(C151,Table_ingredients[],7,FALSE))</f>
        <v/>
      </c>
      <c r="K151" s="776" t="str">
        <f>IF(C151="","",VLOOKUP(C151,Table_ingredients[],8,FALSE))</f>
        <v/>
      </c>
      <c r="L151" s="777" t="str">
        <f>IF(C151="","",VLOOKUP(C151,Table_ingredients[],9,FALSE))</f>
        <v/>
      </c>
      <c r="M151" s="778" t="str">
        <f>IF(C151="","",VLOOKUP(C151,Table_ingredients[],10,FALSE))</f>
        <v/>
      </c>
      <c r="N151" s="767" t="str">
        <f>IF(C151="","",VLOOKUP(C151,Table_ingredients[],12,FALSE))</f>
        <v/>
      </c>
      <c r="O151" s="479" t="str">
        <f t="shared" si="35"/>
        <v>No</v>
      </c>
      <c r="P151" s="478">
        <f t="shared" si="32"/>
        <v>0</v>
      </c>
      <c r="Q151" s="475" t="str">
        <f>IF(C151="","",VLOOKUP(C151,Table_ingredients[],13,FALSE))</f>
        <v/>
      </c>
      <c r="R151" s="478">
        <f t="shared" si="33"/>
        <v>0</v>
      </c>
      <c r="S151" s="477"/>
      <c r="T151" s="120">
        <f t="shared" si="34"/>
        <v>0</v>
      </c>
      <c r="V151" s="59" t="s">
        <v>740</v>
      </c>
      <c r="W151" s="46">
        <v>0.27600000000000002</v>
      </c>
      <c r="X151" s="46">
        <v>8.5000000000000006E-2</v>
      </c>
      <c r="Y151" s="46">
        <v>0.56400000000000006</v>
      </c>
      <c r="Z151" s="46">
        <v>4.5999999999999999E-2</v>
      </c>
      <c r="AA151" s="46">
        <v>7.4999999999999997E-2</v>
      </c>
      <c r="AB151" s="46">
        <v>1.44E-2</v>
      </c>
      <c r="AC151" s="46">
        <v>0.1</v>
      </c>
      <c r="AD151" s="46">
        <v>4.4160000000000005E-2</v>
      </c>
      <c r="AE151" s="46">
        <v>0.9</v>
      </c>
      <c r="AF151" s="59" t="s">
        <v>1576</v>
      </c>
      <c r="AG151" s="59"/>
      <c r="AH151" s="59" t="s">
        <v>1635</v>
      </c>
    </row>
    <row r="152" spans="2:34" ht="15.75" thickBot="1" x14ac:dyDescent="0.3">
      <c r="B152" s="26"/>
      <c r="C152" s="483" t="s">
        <v>1123</v>
      </c>
      <c r="D152" s="484">
        <f>SUM(D136:D151)</f>
        <v>0</v>
      </c>
      <c r="E152" s="759">
        <f>SUMPRODUCT($D$16:$D$31,E136:E151)</f>
        <v>0</v>
      </c>
      <c r="F152" s="759">
        <f t="shared" ref="F152:M152" si="36">SUMPRODUCT($D$16:$D$31,F136:F151)</f>
        <v>0</v>
      </c>
      <c r="G152" s="759">
        <f t="shared" si="36"/>
        <v>0</v>
      </c>
      <c r="H152" s="759">
        <f t="shared" si="36"/>
        <v>0</v>
      </c>
      <c r="I152" s="759">
        <f t="shared" si="36"/>
        <v>0</v>
      </c>
      <c r="J152" s="759">
        <f t="shared" si="36"/>
        <v>0</v>
      </c>
      <c r="K152" s="759">
        <f t="shared" si="36"/>
        <v>0</v>
      </c>
      <c r="L152" s="759">
        <f t="shared" si="36"/>
        <v>0</v>
      </c>
      <c r="M152" s="759">
        <f t="shared" si="36"/>
        <v>0</v>
      </c>
      <c r="N152" s="779"/>
      <c r="O152" s="780"/>
      <c r="P152" s="484">
        <f>SUM(P136:P151)</f>
        <v>0</v>
      </c>
      <c r="Q152" s="91"/>
      <c r="R152" s="485">
        <f>SUM(R136:R151)</f>
        <v>0</v>
      </c>
      <c r="S152" s="91"/>
      <c r="T152" s="486">
        <f>SUM(T136:T151)</f>
        <v>0</v>
      </c>
      <c r="V152" s="59" t="s">
        <v>1697</v>
      </c>
      <c r="W152" s="46">
        <v>1</v>
      </c>
      <c r="X152" s="46">
        <v>0</v>
      </c>
      <c r="Y152" s="46">
        <v>0</v>
      </c>
      <c r="Z152" s="46">
        <v>0</v>
      </c>
      <c r="AA152" s="46">
        <v>0</v>
      </c>
      <c r="AB152" s="46">
        <v>0</v>
      </c>
      <c r="AC152" s="46">
        <v>0</v>
      </c>
      <c r="AD152" s="46">
        <v>0.16</v>
      </c>
      <c r="AE152" s="46">
        <v>1</v>
      </c>
      <c r="AF152" s="59" t="s">
        <v>526</v>
      </c>
      <c r="AG152" s="59"/>
      <c r="AH152" s="59" t="s">
        <v>1635</v>
      </c>
    </row>
    <row r="153" spans="2:34" ht="15.75" thickBot="1" x14ac:dyDescent="0.3">
      <c r="B153" s="480"/>
      <c r="C153" s="481"/>
      <c r="D153" s="482" t="str">
        <f>IF(D152=100%,"OK","Not 100%")</f>
        <v>Not 100%</v>
      </c>
      <c r="E153" s="760"/>
      <c r="F153" s="760"/>
      <c r="G153" s="760"/>
      <c r="H153" s="760"/>
      <c r="I153" s="760"/>
      <c r="J153" s="760"/>
      <c r="K153" s="760"/>
      <c r="L153" s="846"/>
      <c r="M153" s="847"/>
      <c r="N153" s="847"/>
      <c r="O153" s="847"/>
      <c r="P153" s="847"/>
      <c r="Q153" s="847"/>
      <c r="R153" s="847"/>
      <c r="S153" s="847"/>
      <c r="T153" s="848"/>
      <c r="V153" s="59" t="s">
        <v>965</v>
      </c>
      <c r="W153" s="46">
        <v>0.9</v>
      </c>
      <c r="X153" s="46">
        <v>0</v>
      </c>
      <c r="Y153" s="46">
        <v>9.5000000000000001E-2</v>
      </c>
      <c r="Z153" s="46">
        <v>0</v>
      </c>
      <c r="AA153" s="46">
        <v>5.0000000000000001E-3</v>
      </c>
      <c r="AB153" s="46">
        <v>0</v>
      </c>
      <c r="AC153" s="46">
        <v>0.01</v>
      </c>
      <c r="AD153" s="46">
        <v>0.14400000000000002</v>
      </c>
      <c r="AE153" s="46">
        <v>0.99</v>
      </c>
      <c r="AF153" s="59" t="s">
        <v>1576</v>
      </c>
      <c r="AG153" s="59"/>
      <c r="AH153" s="59" t="s">
        <v>1635</v>
      </c>
    </row>
    <row r="154" spans="2:34" ht="15.75" thickBot="1" x14ac:dyDescent="0.3">
      <c r="V154" s="59" t="s">
        <v>1029</v>
      </c>
      <c r="W154" s="46">
        <v>0.04</v>
      </c>
      <c r="X154" s="46">
        <v>0</v>
      </c>
      <c r="Y154" s="46">
        <v>0.96</v>
      </c>
      <c r="Z154" s="46">
        <v>0</v>
      </c>
      <c r="AA154" s="46">
        <v>0</v>
      </c>
      <c r="AB154" s="46">
        <v>0</v>
      </c>
      <c r="AC154" s="46">
        <v>0.1</v>
      </c>
      <c r="AD154" s="46">
        <v>6.4000000000000003E-3</v>
      </c>
      <c r="AE154" s="46">
        <v>0.9</v>
      </c>
      <c r="AF154" s="59" t="s">
        <v>1576</v>
      </c>
      <c r="AG154" s="59"/>
      <c r="AH154" s="59" t="s">
        <v>1635</v>
      </c>
    </row>
    <row r="155" spans="2:34" ht="21.75" thickBot="1" x14ac:dyDescent="0.4">
      <c r="B155" s="860" t="s">
        <v>1474</v>
      </c>
      <c r="C155" s="861"/>
      <c r="D155" s="861"/>
      <c r="E155" s="861"/>
      <c r="F155" s="862"/>
      <c r="G155" s="862"/>
      <c r="H155" s="861"/>
      <c r="I155" s="861"/>
      <c r="J155" s="861"/>
      <c r="K155" s="861"/>
      <c r="L155" s="861"/>
      <c r="M155" s="861"/>
      <c r="N155" s="861"/>
      <c r="O155" s="861"/>
      <c r="P155" s="861"/>
      <c r="Q155" s="861"/>
      <c r="R155" s="861"/>
      <c r="S155" s="861"/>
      <c r="T155" s="863"/>
      <c r="V155" s="59" t="s">
        <v>1039</v>
      </c>
      <c r="W155" s="46">
        <v>0.05</v>
      </c>
      <c r="X155" s="46">
        <v>0.01</v>
      </c>
      <c r="Y155" s="46">
        <v>0.89</v>
      </c>
      <c r="Z155" s="46">
        <v>0.03</v>
      </c>
      <c r="AA155" s="46">
        <v>0.05</v>
      </c>
      <c r="AB155" s="46">
        <v>6.9999999999999993E-3</v>
      </c>
      <c r="AC155" s="46">
        <v>0.1</v>
      </c>
      <c r="AD155" s="46">
        <v>8.0000000000000002E-3</v>
      </c>
      <c r="AE155" s="46">
        <v>0.9</v>
      </c>
      <c r="AF155" s="59" t="s">
        <v>1576</v>
      </c>
      <c r="AG155" s="59"/>
      <c r="AH155" s="59" t="s">
        <v>1635</v>
      </c>
    </row>
    <row r="156" spans="2:34" ht="15" customHeight="1" x14ac:dyDescent="0.25">
      <c r="B156" s="849" t="s">
        <v>1463</v>
      </c>
      <c r="C156" s="870"/>
      <c r="D156" s="873" t="s">
        <v>1193</v>
      </c>
      <c r="E156" s="875"/>
      <c r="F156" s="864" t="s">
        <v>1192</v>
      </c>
      <c r="G156" s="867"/>
      <c r="H156" s="877" t="s">
        <v>1188</v>
      </c>
      <c r="I156" s="491" t="s">
        <v>1464</v>
      </c>
      <c r="J156" s="495"/>
      <c r="K156" s="849" t="s">
        <v>1467</v>
      </c>
      <c r="L156" s="856" t="s">
        <v>1464</v>
      </c>
      <c r="M156" s="852"/>
      <c r="N156" s="853"/>
      <c r="O156" s="880"/>
      <c r="P156" s="881"/>
      <c r="Q156" s="881"/>
      <c r="R156" s="881"/>
      <c r="S156" s="881"/>
      <c r="T156" s="882"/>
      <c r="V156" s="59" t="s">
        <v>1698</v>
      </c>
      <c r="W156" s="46">
        <v>0.26800000000000002</v>
      </c>
      <c r="X156" s="46">
        <v>1.1000000000000001E-2</v>
      </c>
      <c r="Y156" s="46">
        <v>0.68500000000000016</v>
      </c>
      <c r="Z156" s="46">
        <v>0.16829999999999998</v>
      </c>
      <c r="AA156" s="46">
        <v>3.6000000000000004E-2</v>
      </c>
      <c r="AB156" s="46">
        <v>4.7000000000000002E-3</v>
      </c>
      <c r="AC156" s="46">
        <v>0.13900000000000007</v>
      </c>
      <c r="AD156" s="46">
        <v>4.2880000000000001E-2</v>
      </c>
      <c r="AE156" s="46">
        <v>0.86099999999999999</v>
      </c>
      <c r="AF156" s="59" t="s">
        <v>526</v>
      </c>
      <c r="AG156" s="59"/>
      <c r="AH156" s="59" t="s">
        <v>1635</v>
      </c>
    </row>
    <row r="157" spans="2:34" x14ac:dyDescent="0.25">
      <c r="B157" s="850"/>
      <c r="C157" s="871"/>
      <c r="D157" s="874"/>
      <c r="E157" s="876"/>
      <c r="F157" s="865"/>
      <c r="G157" s="868"/>
      <c r="H157" s="878"/>
      <c r="I157" s="489" t="s">
        <v>1465</v>
      </c>
      <c r="J157" s="496"/>
      <c r="K157" s="850"/>
      <c r="L157" s="857"/>
      <c r="M157" s="854"/>
      <c r="N157" s="855"/>
      <c r="O157" s="883"/>
      <c r="P157" s="884"/>
      <c r="Q157" s="884"/>
      <c r="R157" s="884"/>
      <c r="S157" s="884"/>
      <c r="T157" s="885"/>
      <c r="V157" s="59" t="s">
        <v>744</v>
      </c>
      <c r="W157" s="46">
        <v>0.66299999999999992</v>
      </c>
      <c r="X157" s="46">
        <v>4.7E-2</v>
      </c>
      <c r="Y157" s="46">
        <v>0.26400000000000001</v>
      </c>
      <c r="Z157" s="46">
        <v>4.0999999999999995E-2</v>
      </c>
      <c r="AA157" s="46">
        <v>2.6000000000000002E-2</v>
      </c>
      <c r="AB157" s="46">
        <v>5.8999999999999999E-3</v>
      </c>
      <c r="AC157" s="46">
        <v>0.12</v>
      </c>
      <c r="AD157" s="46">
        <v>0.10607999999999999</v>
      </c>
      <c r="AE157" s="46">
        <v>0.88</v>
      </c>
      <c r="AF157" s="59" t="s">
        <v>1576</v>
      </c>
      <c r="AG157" s="59"/>
      <c r="AH157" s="59" t="s">
        <v>1635</v>
      </c>
    </row>
    <row r="158" spans="2:34" ht="15.75" thickBot="1" x14ac:dyDescent="0.3">
      <c r="B158" s="851"/>
      <c r="C158" s="872"/>
      <c r="D158" s="874"/>
      <c r="E158" s="876"/>
      <c r="F158" s="866"/>
      <c r="G158" s="869"/>
      <c r="H158" s="879"/>
      <c r="I158" s="490" t="s">
        <v>1466</v>
      </c>
      <c r="J158" s="497"/>
      <c r="K158" s="851"/>
      <c r="L158" s="490" t="s">
        <v>1468</v>
      </c>
      <c r="M158" s="858"/>
      <c r="N158" s="859"/>
      <c r="O158" s="886"/>
      <c r="P158" s="887"/>
      <c r="Q158" s="887"/>
      <c r="R158" s="887"/>
      <c r="S158" s="887"/>
      <c r="T158" s="888"/>
      <c r="V158" s="59" t="s">
        <v>743</v>
      </c>
      <c r="W158" s="46">
        <v>0.25700000000000001</v>
      </c>
      <c r="X158" s="46">
        <v>1.3999999999999999E-2</v>
      </c>
      <c r="Y158" s="46">
        <v>0.66899999999999993</v>
      </c>
      <c r="Z158" s="46">
        <v>8.199999999999999E-2</v>
      </c>
      <c r="AA158" s="46">
        <v>0.06</v>
      </c>
      <c r="AB158" s="46">
        <v>5.5000000000000005E-3</v>
      </c>
      <c r="AC158" s="46">
        <v>0.11</v>
      </c>
      <c r="AD158" s="46">
        <v>4.1120000000000004E-2</v>
      </c>
      <c r="AE158" s="46">
        <v>0.89</v>
      </c>
      <c r="AF158" s="59" t="s">
        <v>1576</v>
      </c>
      <c r="AG158" s="59"/>
      <c r="AH158" s="59" t="s">
        <v>1635</v>
      </c>
    </row>
    <row r="159" spans="2:34" ht="45.75" thickBot="1" x14ac:dyDescent="0.3">
      <c r="B159" s="488"/>
      <c r="C159" s="762" t="s">
        <v>511</v>
      </c>
      <c r="D159" s="768" t="s">
        <v>512</v>
      </c>
      <c r="E159" s="769" t="s">
        <v>1479</v>
      </c>
      <c r="F159" s="492" t="s">
        <v>1571</v>
      </c>
      <c r="G159" s="492" t="s">
        <v>1636</v>
      </c>
      <c r="H159" s="769" t="s">
        <v>1573</v>
      </c>
      <c r="I159" s="769" t="s">
        <v>1574</v>
      </c>
      <c r="J159" s="769" t="s">
        <v>1090</v>
      </c>
      <c r="K159" s="769" t="s">
        <v>1575</v>
      </c>
      <c r="L159" s="769" t="s">
        <v>1041</v>
      </c>
      <c r="M159" s="770" t="s">
        <v>1046</v>
      </c>
      <c r="N159" s="766" t="s">
        <v>1063</v>
      </c>
      <c r="O159" s="492" t="s">
        <v>1067</v>
      </c>
      <c r="P159" s="492" t="s">
        <v>1066</v>
      </c>
      <c r="Q159" s="492" t="s">
        <v>519</v>
      </c>
      <c r="R159" s="492"/>
      <c r="S159" s="493" t="s">
        <v>1189</v>
      </c>
      <c r="T159" s="494" t="s">
        <v>1190</v>
      </c>
      <c r="V159" s="59" t="s">
        <v>1699</v>
      </c>
      <c r="W159" s="46">
        <v>0.85799999999999998</v>
      </c>
      <c r="X159" s="46">
        <v>3.5000000000000003E-2</v>
      </c>
      <c r="Y159" s="46">
        <v>7.7000000000000027E-2</v>
      </c>
      <c r="Z159" s="46">
        <v>0</v>
      </c>
      <c r="AA159" s="46">
        <v>0.03</v>
      </c>
      <c r="AB159" s="46">
        <v>6.9999999999999993E-3</v>
      </c>
      <c r="AC159" s="46">
        <v>7.0000000000000007E-2</v>
      </c>
      <c r="AD159" s="46">
        <v>0.13727999999999999</v>
      </c>
      <c r="AE159" s="46">
        <v>0.93</v>
      </c>
      <c r="AF159" s="59" t="s">
        <v>526</v>
      </c>
      <c r="AG159" s="59"/>
      <c r="AH159" s="59" t="s">
        <v>1635</v>
      </c>
    </row>
    <row r="160" spans="2:34" x14ac:dyDescent="0.25">
      <c r="B160" s="21" t="s">
        <v>513</v>
      </c>
      <c r="C160" s="763"/>
      <c r="D160" s="771"/>
      <c r="E160" s="761" t="str">
        <f>IF(C160="","",VLOOKUP(C160,Table_ingredients[],2,FALSE))</f>
        <v/>
      </c>
      <c r="F160" s="761" t="str">
        <f>IF(C160="","",VLOOKUP(C160,Table_ingredients[],3,FALSE))</f>
        <v/>
      </c>
      <c r="G160" s="761" t="str">
        <f>IF(C160="","",VLOOKUP(C160,Table_ingredients[],4,FALSE))</f>
        <v/>
      </c>
      <c r="H160" s="761" t="str">
        <f>IF(C160="","",VLOOKUP(C160,Table_ingredients[],5,FALSE))</f>
        <v/>
      </c>
      <c r="I160" s="761" t="str">
        <f>IF(C160="","",VLOOKUP(C160,Table_ingredients[],6,FALSE))</f>
        <v/>
      </c>
      <c r="J160" s="761" t="str">
        <f>IF(C160="","",VLOOKUP(C160,Table_ingredients[],7,FALSE))</f>
        <v/>
      </c>
      <c r="K160" s="761" t="str">
        <f>IF(C160="","",VLOOKUP(C160,Table_ingredients[],8,FALSE))</f>
        <v/>
      </c>
      <c r="L160" s="474" t="str">
        <f>IF(C160="","",VLOOKUP(C160,Table_ingredients[],9,FALSE))</f>
        <v/>
      </c>
      <c r="M160" s="772" t="str">
        <f>IF(C160="","",VLOOKUP(C160,Table_ingredients[],10,FALSE))</f>
        <v/>
      </c>
      <c r="N160" s="767" t="str">
        <f>IF(C160="","",VLOOKUP(C160,Table_ingredients[],12,FALSE))</f>
        <v/>
      </c>
      <c r="O160" s="476" t="str">
        <f>IF(N160=$C$3,"Yes","No")</f>
        <v>No</v>
      </c>
      <c r="P160" s="474">
        <f t="shared" ref="P160:P175" si="37">IF(O160="Yes",D160,0)</f>
        <v>0</v>
      </c>
      <c r="Q160" s="475" t="str">
        <f>IF(C160="","",VLOOKUP(C160,Table_ingredients[],13,FALSE))</f>
        <v/>
      </c>
      <c r="R160" s="474">
        <f t="shared" ref="R160:R175" si="38">IF(Q160="Yes",D160,0)</f>
        <v>0</v>
      </c>
      <c r="S160" s="109"/>
      <c r="T160" s="120">
        <f t="shared" ref="T160:T175" si="39">S160*D160*$C$12</f>
        <v>0</v>
      </c>
      <c r="V160" s="59" t="s">
        <v>654</v>
      </c>
      <c r="W160" s="46">
        <v>0.6</v>
      </c>
      <c r="X160" s="46">
        <v>0.111</v>
      </c>
      <c r="Y160" s="46">
        <v>0.1</v>
      </c>
      <c r="Z160" s="46">
        <v>9.0000000000000011E-3</v>
      </c>
      <c r="AA160" s="46">
        <v>0.18899999999999997</v>
      </c>
      <c r="AB160" s="46">
        <v>2.7200000000000002E-2</v>
      </c>
      <c r="AC160" s="46">
        <v>4.7000000000000028E-2</v>
      </c>
      <c r="AD160" s="46">
        <v>9.6000000000000002E-2</v>
      </c>
      <c r="AE160" s="46">
        <v>0.95299999999999996</v>
      </c>
      <c r="AF160" s="59" t="s">
        <v>1576</v>
      </c>
      <c r="AG160" s="59"/>
      <c r="AH160" s="59" t="s">
        <v>1635</v>
      </c>
    </row>
    <row r="161" spans="2:34" x14ac:dyDescent="0.25">
      <c r="B161" s="13" t="s">
        <v>514</v>
      </c>
      <c r="C161" s="764"/>
      <c r="D161" s="773"/>
      <c r="E161" s="761" t="str">
        <f>IF(C161="","",VLOOKUP(C161,Table_ingredients[],2,FALSE))</f>
        <v/>
      </c>
      <c r="F161" s="761" t="str">
        <f>IF(C161="","",VLOOKUP(C161,Table_ingredients[],3,FALSE))</f>
        <v/>
      </c>
      <c r="G161" s="761" t="str">
        <f>IF(C161="","",VLOOKUP(C161,Table_ingredients[],4,FALSE))</f>
        <v/>
      </c>
      <c r="H161" s="761" t="str">
        <f>IF(C161="","",VLOOKUP(C161,Table_ingredients[],5,FALSE))</f>
        <v/>
      </c>
      <c r="I161" s="761" t="str">
        <f>IF(C161="","",VLOOKUP(C161,Table_ingredients[],6,FALSE))</f>
        <v/>
      </c>
      <c r="J161" s="761" t="str">
        <f>IF(C161="","",VLOOKUP(C161,Table_ingredients[],7,FALSE))</f>
        <v/>
      </c>
      <c r="K161" s="761" t="str">
        <f>IF(C161="","",VLOOKUP(C161,Table_ingredients[],8,FALSE))</f>
        <v/>
      </c>
      <c r="L161" s="474" t="str">
        <f>IF(C161="","",VLOOKUP(C161,Table_ingredients[],9,FALSE))</f>
        <v/>
      </c>
      <c r="M161" s="772" t="str">
        <f>IF(C161="","",VLOOKUP(C161,Table_ingredients[],10,FALSE))</f>
        <v/>
      </c>
      <c r="N161" s="767" t="str">
        <f>IF(C161="","",VLOOKUP(C161,Table_ingredients[],12,FALSE))</f>
        <v/>
      </c>
      <c r="O161" s="472" t="str">
        <f t="shared" ref="O161:O175" si="40">IF(N161=$C$3,"Yes","No")</f>
        <v>No</v>
      </c>
      <c r="P161" s="471">
        <f t="shared" si="37"/>
        <v>0</v>
      </c>
      <c r="Q161" s="475" t="str">
        <f>IF(C161="","",VLOOKUP(C161,Table_ingredients[],13,FALSE))</f>
        <v/>
      </c>
      <c r="R161" s="471">
        <f t="shared" si="38"/>
        <v>0</v>
      </c>
      <c r="S161" s="104"/>
      <c r="T161" s="120">
        <f t="shared" si="39"/>
        <v>0</v>
      </c>
      <c r="V161" s="59" t="s">
        <v>651</v>
      </c>
      <c r="W161" s="46">
        <v>0.80900000000000005</v>
      </c>
      <c r="X161" s="46">
        <v>5.9000000000000004E-2</v>
      </c>
      <c r="Y161" s="46">
        <v>0.10899999999999994</v>
      </c>
      <c r="Z161" s="46">
        <v>9.0000000000000011E-3</v>
      </c>
      <c r="AA161" s="46">
        <v>2.3E-2</v>
      </c>
      <c r="AB161" s="46">
        <v>7.9000000000000008E-3</v>
      </c>
      <c r="AC161" s="46">
        <v>0.05</v>
      </c>
      <c r="AD161" s="46">
        <v>0.12944</v>
      </c>
      <c r="AE161" s="46">
        <v>0.95</v>
      </c>
      <c r="AF161" s="59" t="s">
        <v>1576</v>
      </c>
      <c r="AG161" s="59"/>
      <c r="AH161" s="59" t="s">
        <v>1635</v>
      </c>
    </row>
    <row r="162" spans="2:34" x14ac:dyDescent="0.25">
      <c r="B162" s="13" t="s">
        <v>515</v>
      </c>
      <c r="C162" s="764"/>
      <c r="D162" s="773"/>
      <c r="E162" s="761" t="str">
        <f>IF(C162="","",VLOOKUP(C162,Table_ingredients[],2,FALSE))</f>
        <v/>
      </c>
      <c r="F162" s="761" t="str">
        <f>IF(C162="","",VLOOKUP(C162,Table_ingredients[],3,FALSE))</f>
        <v/>
      </c>
      <c r="G162" s="761" t="str">
        <f>IF(C162="","",VLOOKUP(C162,Table_ingredients[],4,FALSE))</f>
        <v/>
      </c>
      <c r="H162" s="761" t="str">
        <f>IF(C162="","",VLOOKUP(C162,Table_ingredients[],5,FALSE))</f>
        <v/>
      </c>
      <c r="I162" s="761" t="str">
        <f>IF(C162="","",VLOOKUP(C162,Table_ingredients[],6,FALSE))</f>
        <v/>
      </c>
      <c r="J162" s="761" t="str">
        <f>IF(C162="","",VLOOKUP(C162,Table_ingredients[],7,FALSE))</f>
        <v/>
      </c>
      <c r="K162" s="761" t="str">
        <f>IF(C162="","",VLOOKUP(C162,Table_ingredients[],8,FALSE))</f>
        <v/>
      </c>
      <c r="L162" s="474" t="str">
        <f>IF(C162="","",VLOOKUP(C162,Table_ingredients[],9,FALSE))</f>
        <v/>
      </c>
      <c r="M162" s="772" t="str">
        <f>IF(C162="","",VLOOKUP(C162,Table_ingredients[],10,FALSE))</f>
        <v/>
      </c>
      <c r="N162" s="767" t="str">
        <f>IF(C162="","",VLOOKUP(C162,Table_ingredients[],12,FALSE))</f>
        <v/>
      </c>
      <c r="O162" s="472" t="str">
        <f t="shared" si="40"/>
        <v>No</v>
      </c>
      <c r="P162" s="471">
        <f t="shared" si="37"/>
        <v>0</v>
      </c>
      <c r="Q162" s="475" t="str">
        <f>IF(C162="","",VLOOKUP(C162,Table_ingredients[],13,FALSE))</f>
        <v/>
      </c>
      <c r="R162" s="471">
        <f t="shared" si="38"/>
        <v>0</v>
      </c>
      <c r="S162" s="104"/>
      <c r="T162" s="120">
        <f t="shared" si="39"/>
        <v>0</v>
      </c>
      <c r="V162" s="59" t="s">
        <v>652</v>
      </c>
      <c r="W162" s="46">
        <v>0.77200000000000002</v>
      </c>
      <c r="X162" s="46">
        <v>5.7999999999999996E-2</v>
      </c>
      <c r="Y162" s="46">
        <v>0.12599999999999997</v>
      </c>
      <c r="Z162" s="46">
        <v>6.9999999999999993E-3</v>
      </c>
      <c r="AA162" s="46">
        <v>4.4000000000000004E-2</v>
      </c>
      <c r="AB162" s="46">
        <v>1.1399999999999999E-2</v>
      </c>
      <c r="AC162" s="46">
        <v>9.7999999999999976E-2</v>
      </c>
      <c r="AD162" s="46">
        <v>0.12352</v>
      </c>
      <c r="AE162" s="46">
        <v>0.90200000000000002</v>
      </c>
      <c r="AF162" s="59" t="s">
        <v>1576</v>
      </c>
      <c r="AG162" s="59"/>
      <c r="AH162" s="59" t="s">
        <v>1635</v>
      </c>
    </row>
    <row r="163" spans="2:34" x14ac:dyDescent="0.25">
      <c r="B163" s="13" t="s">
        <v>516</v>
      </c>
      <c r="C163" s="764"/>
      <c r="D163" s="773"/>
      <c r="E163" s="761" t="str">
        <f>IF(C163="","",VLOOKUP(C163,Table_ingredients[],2,FALSE))</f>
        <v/>
      </c>
      <c r="F163" s="761" t="str">
        <f>IF(C163="","",VLOOKUP(C163,Table_ingredients[],3,FALSE))</f>
        <v/>
      </c>
      <c r="G163" s="761" t="str">
        <f>IF(C163="","",VLOOKUP(C163,Table_ingredients[],4,FALSE))</f>
        <v/>
      </c>
      <c r="H163" s="761" t="str">
        <f>IF(C163="","",VLOOKUP(C163,Table_ingredients[],5,FALSE))</f>
        <v/>
      </c>
      <c r="I163" s="761" t="str">
        <f>IF(C163="","",VLOOKUP(C163,Table_ingredients[],6,FALSE))</f>
        <v/>
      </c>
      <c r="J163" s="761" t="str">
        <f>IF(C163="","",VLOOKUP(C163,Table_ingredients[],7,FALSE))</f>
        <v/>
      </c>
      <c r="K163" s="761" t="str">
        <f>IF(C163="","",VLOOKUP(C163,Table_ingredients[],8,FALSE))</f>
        <v/>
      </c>
      <c r="L163" s="474" t="str">
        <f>IF(C163="","",VLOOKUP(C163,Table_ingredients[],9,FALSE))</f>
        <v/>
      </c>
      <c r="M163" s="772" t="str">
        <f>IF(C163="","",VLOOKUP(C163,Table_ingredients[],10,FALSE))</f>
        <v/>
      </c>
      <c r="N163" s="767" t="str">
        <f>IF(C163="","",VLOOKUP(C163,Table_ingredients[],12,FALSE))</f>
        <v/>
      </c>
      <c r="O163" s="472" t="str">
        <f t="shared" si="40"/>
        <v>No</v>
      </c>
      <c r="P163" s="471">
        <f t="shared" si="37"/>
        <v>0</v>
      </c>
      <c r="Q163" s="475" t="str">
        <f>IF(C163="","",VLOOKUP(C163,Table_ingredients[],13,FALSE))</f>
        <v/>
      </c>
      <c r="R163" s="471">
        <f t="shared" si="38"/>
        <v>0</v>
      </c>
      <c r="S163" s="104"/>
      <c r="T163" s="120">
        <f t="shared" si="39"/>
        <v>0</v>
      </c>
      <c r="V163" s="59" t="s">
        <v>652</v>
      </c>
      <c r="W163" s="46">
        <v>0.77200000000000002</v>
      </c>
      <c r="X163" s="46">
        <v>5.9000000000000004E-2</v>
      </c>
      <c r="Y163" s="46">
        <v>0.12499999999999999</v>
      </c>
      <c r="Z163" s="46">
        <v>9.0000000000000011E-3</v>
      </c>
      <c r="AA163" s="46">
        <v>4.4000000000000004E-2</v>
      </c>
      <c r="AB163" s="46">
        <v>1.2E-2</v>
      </c>
      <c r="AC163" s="46">
        <v>9.7999999999999976E-2</v>
      </c>
      <c r="AD163" s="46">
        <v>0.12352</v>
      </c>
      <c r="AE163" s="46">
        <v>0.90200000000000002</v>
      </c>
      <c r="AF163" s="59" t="s">
        <v>1576</v>
      </c>
      <c r="AG163" s="59"/>
      <c r="AH163" s="59" t="s">
        <v>1635</v>
      </c>
    </row>
    <row r="164" spans="2:34" x14ac:dyDescent="0.25">
      <c r="B164" s="13" t="s">
        <v>517</v>
      </c>
      <c r="C164" s="764"/>
      <c r="D164" s="773"/>
      <c r="E164" s="761" t="str">
        <f>IF(C164="","",VLOOKUP(C164,Table_ingredients[],2,FALSE))</f>
        <v/>
      </c>
      <c r="F164" s="761" t="str">
        <f>IF(C164="","",VLOOKUP(C164,Table_ingredients[],3,FALSE))</f>
        <v/>
      </c>
      <c r="G164" s="761" t="str">
        <f>IF(C164="","",VLOOKUP(C164,Table_ingredients[],4,FALSE))</f>
        <v/>
      </c>
      <c r="H164" s="761" t="str">
        <f>IF(C164="","",VLOOKUP(C164,Table_ingredients[],5,FALSE))</f>
        <v/>
      </c>
      <c r="I164" s="761" t="str">
        <f>IF(C164="","",VLOOKUP(C164,Table_ingredients[],6,FALSE))</f>
        <v/>
      </c>
      <c r="J164" s="761" t="str">
        <f>IF(C164="","",VLOOKUP(C164,Table_ingredients[],7,FALSE))</f>
        <v/>
      </c>
      <c r="K164" s="761" t="str">
        <f>IF(C164="","",VLOOKUP(C164,Table_ingredients[],8,FALSE))</f>
        <v/>
      </c>
      <c r="L164" s="474" t="str">
        <f>IF(C164="","",VLOOKUP(C164,Table_ingredients[],9,FALSE))</f>
        <v/>
      </c>
      <c r="M164" s="772" t="str">
        <f>IF(C164="","",VLOOKUP(C164,Table_ingredients[],10,FALSE))</f>
        <v/>
      </c>
      <c r="N164" s="767" t="str">
        <f>IF(C164="","",VLOOKUP(C164,Table_ingredients[],12,FALSE))</f>
        <v/>
      </c>
      <c r="O164" s="472" t="str">
        <f t="shared" si="40"/>
        <v>No</v>
      </c>
      <c r="P164" s="471">
        <f t="shared" si="37"/>
        <v>0</v>
      </c>
      <c r="Q164" s="475" t="str">
        <f>IF(C164="","",VLOOKUP(C164,Table_ingredients[],13,FALSE))</f>
        <v/>
      </c>
      <c r="R164" s="471">
        <f t="shared" si="38"/>
        <v>0</v>
      </c>
      <c r="S164" s="104"/>
      <c r="T164" s="120">
        <f t="shared" si="39"/>
        <v>0</v>
      </c>
      <c r="V164" s="59" t="s">
        <v>653</v>
      </c>
      <c r="W164" s="46">
        <v>0.80900000000000005</v>
      </c>
      <c r="X164" s="46">
        <v>9.6999999999999989E-2</v>
      </c>
      <c r="Y164" s="46">
        <v>7.4999999999999942E-2</v>
      </c>
      <c r="Z164" s="46">
        <v>9.0000000000000011E-3</v>
      </c>
      <c r="AA164" s="46">
        <v>1.9E-2</v>
      </c>
      <c r="AB164" s="46">
        <v>0.01</v>
      </c>
      <c r="AC164" s="46">
        <v>4.7000000000000028E-2</v>
      </c>
      <c r="AD164" s="46">
        <v>0.12944</v>
      </c>
      <c r="AE164" s="46">
        <v>0.95299999999999996</v>
      </c>
      <c r="AF164" s="59" t="s">
        <v>1576</v>
      </c>
      <c r="AG164" s="59"/>
      <c r="AH164" s="59" t="s">
        <v>1635</v>
      </c>
    </row>
    <row r="165" spans="2:34" x14ac:dyDescent="0.25">
      <c r="B165" s="13" t="s">
        <v>518</v>
      </c>
      <c r="C165" s="764"/>
      <c r="D165" s="773"/>
      <c r="E165" s="761" t="str">
        <f>IF(C165="","",VLOOKUP(C165,Table_ingredients[],2,FALSE))</f>
        <v/>
      </c>
      <c r="F165" s="761" t="str">
        <f>IF(C165="","",VLOOKUP(C165,Table_ingredients[],3,FALSE))</f>
        <v/>
      </c>
      <c r="G165" s="761" t="str">
        <f>IF(C165="","",VLOOKUP(C165,Table_ingredients[],4,FALSE))</f>
        <v/>
      </c>
      <c r="H165" s="761" t="str">
        <f>IF(C165="","",VLOOKUP(C165,Table_ingredients[],5,FALSE))</f>
        <v/>
      </c>
      <c r="I165" s="761" t="str">
        <f>IF(C165="","",VLOOKUP(C165,Table_ingredients[],6,FALSE))</f>
        <v/>
      </c>
      <c r="J165" s="761" t="str">
        <f>IF(C165="","",VLOOKUP(C165,Table_ingredients[],7,FALSE))</f>
        <v/>
      </c>
      <c r="K165" s="761" t="str">
        <f>IF(C165="","",VLOOKUP(C165,Table_ingredients[],8,FALSE))</f>
        <v/>
      </c>
      <c r="L165" s="474" t="str">
        <f>IF(C165="","",VLOOKUP(C165,Table_ingredients[],9,FALSE))</f>
        <v/>
      </c>
      <c r="M165" s="772" t="str">
        <f>IF(C165="","",VLOOKUP(C165,Table_ingredients[],10,FALSE))</f>
        <v/>
      </c>
      <c r="N165" s="767" t="str">
        <f>IF(C165="","",VLOOKUP(C165,Table_ingredients[],12,FALSE))</f>
        <v/>
      </c>
      <c r="O165" s="472" t="str">
        <f t="shared" si="40"/>
        <v>No</v>
      </c>
      <c r="P165" s="471">
        <f t="shared" si="37"/>
        <v>0</v>
      </c>
      <c r="Q165" s="475" t="str">
        <f>IF(C165="","",VLOOKUP(C165,Table_ingredients[],13,FALSE))</f>
        <v/>
      </c>
      <c r="R165" s="471">
        <f t="shared" si="38"/>
        <v>0</v>
      </c>
      <c r="S165" s="104"/>
      <c r="T165" s="120">
        <f t="shared" si="39"/>
        <v>0</v>
      </c>
      <c r="V165" s="59" t="s">
        <v>655</v>
      </c>
      <c r="W165" s="46">
        <v>0.87</v>
      </c>
      <c r="X165" s="46">
        <v>7.0000000000000007E-2</v>
      </c>
      <c r="Y165" s="46">
        <v>0.04</v>
      </c>
      <c r="Z165" s="46">
        <v>6.9999999999999993E-3</v>
      </c>
      <c r="AA165" s="46">
        <v>0.02</v>
      </c>
      <c r="AB165" s="46">
        <v>1.0700000000000001E-2</v>
      </c>
      <c r="AC165" s="46">
        <v>3.2999999999999974E-2</v>
      </c>
      <c r="AD165" s="46">
        <v>0.13919999999999999</v>
      </c>
      <c r="AE165" s="46">
        <v>0.96700000000000008</v>
      </c>
      <c r="AF165" s="59" t="s">
        <v>1576</v>
      </c>
      <c r="AG165" s="59"/>
      <c r="AH165" s="59" t="s">
        <v>1635</v>
      </c>
    </row>
    <row r="166" spans="2:34" x14ac:dyDescent="0.25">
      <c r="B166" s="13" t="s">
        <v>520</v>
      </c>
      <c r="C166" s="764"/>
      <c r="D166" s="773"/>
      <c r="E166" s="761" t="str">
        <f>IF(C166="","",VLOOKUP(C166,Table_ingredients[],2,FALSE))</f>
        <v/>
      </c>
      <c r="F166" s="761" t="str">
        <f>IF(C166="","",VLOOKUP(C166,Table_ingredients[],3,FALSE))</f>
        <v/>
      </c>
      <c r="G166" s="761" t="str">
        <f>IF(C166="","",VLOOKUP(C166,Table_ingredients[],4,FALSE))</f>
        <v/>
      </c>
      <c r="H166" s="761" t="str">
        <f>IF(C166="","",VLOOKUP(C166,Table_ingredients[],5,FALSE))</f>
        <v/>
      </c>
      <c r="I166" s="761" t="str">
        <f>IF(C166="","",VLOOKUP(C166,Table_ingredients[],6,FALSE))</f>
        <v/>
      </c>
      <c r="J166" s="761" t="str">
        <f>IF(C166="","",VLOOKUP(C166,Table_ingredients[],7,FALSE))</f>
        <v/>
      </c>
      <c r="K166" s="761" t="str">
        <f>IF(C166="","",VLOOKUP(C166,Table_ingredients[],8,FALSE))</f>
        <v/>
      </c>
      <c r="L166" s="474" t="str">
        <f>IF(C166="","",VLOOKUP(C166,Table_ingredients[],9,FALSE))</f>
        <v/>
      </c>
      <c r="M166" s="772" t="str">
        <f>IF(C166="","",VLOOKUP(C166,Table_ingredients[],10,FALSE))</f>
        <v/>
      </c>
      <c r="N166" s="767" t="str">
        <f>IF(C166="","",VLOOKUP(C166,Table_ingredients[],12,FALSE))</f>
        <v/>
      </c>
      <c r="O166" s="472" t="str">
        <f t="shared" si="40"/>
        <v>No</v>
      </c>
      <c r="P166" s="471">
        <f t="shared" si="37"/>
        <v>0</v>
      </c>
      <c r="Q166" s="475" t="str">
        <f>IF(C166="","",VLOOKUP(C166,Table_ingredients[],13,FALSE))</f>
        <v/>
      </c>
      <c r="R166" s="471">
        <f t="shared" si="38"/>
        <v>0</v>
      </c>
      <c r="S166" s="104"/>
      <c r="T166" s="120">
        <f t="shared" si="39"/>
        <v>0</v>
      </c>
      <c r="V166" s="59" t="s">
        <v>840</v>
      </c>
      <c r="W166" s="46">
        <v>0.53200000000000003</v>
      </c>
      <c r="X166" s="46">
        <v>8.0000000000000002E-3</v>
      </c>
      <c r="Y166" s="46">
        <v>0.39200000000000002</v>
      </c>
      <c r="Z166" s="46">
        <v>3.5000000000000003E-2</v>
      </c>
      <c r="AA166" s="46">
        <v>6.8000000000000005E-2</v>
      </c>
      <c r="AB166" s="46">
        <v>8.0000000000000002E-3</v>
      </c>
      <c r="AC166" s="46">
        <v>0.08</v>
      </c>
      <c r="AD166" s="46">
        <v>8.5120000000000001E-2</v>
      </c>
      <c r="AE166" s="46">
        <v>0.92</v>
      </c>
      <c r="AF166" s="59" t="s">
        <v>1576</v>
      </c>
      <c r="AG166" s="59"/>
      <c r="AH166" s="59" t="s">
        <v>1635</v>
      </c>
    </row>
    <row r="167" spans="2:34" x14ac:dyDescent="0.25">
      <c r="B167" s="13" t="s">
        <v>521</v>
      </c>
      <c r="C167" s="764"/>
      <c r="D167" s="774"/>
      <c r="E167" s="761" t="str">
        <f>IF(C167="","",VLOOKUP(C167,Table_ingredients[],2,FALSE))</f>
        <v/>
      </c>
      <c r="F167" s="761" t="str">
        <f>IF(C167="","",VLOOKUP(C167,Table_ingredients[],3,FALSE))</f>
        <v/>
      </c>
      <c r="G167" s="761" t="str">
        <f>IF(C167="","",VLOOKUP(C167,Table_ingredients[],4,FALSE))</f>
        <v/>
      </c>
      <c r="H167" s="761" t="str">
        <f>IF(C167="","",VLOOKUP(C167,Table_ingredients[],5,FALSE))</f>
        <v/>
      </c>
      <c r="I167" s="761" t="str">
        <f>IF(C167="","",VLOOKUP(C167,Table_ingredients[],6,FALSE))</f>
        <v/>
      </c>
      <c r="J167" s="761" t="str">
        <f>IF(C167="","",VLOOKUP(C167,Table_ingredients[],7,FALSE))</f>
        <v/>
      </c>
      <c r="K167" s="761" t="str">
        <f>IF(C167="","",VLOOKUP(C167,Table_ingredients[],8,FALSE))</f>
        <v/>
      </c>
      <c r="L167" s="474" t="str">
        <f>IF(C167="","",VLOOKUP(C167,Table_ingredients[],9,FALSE))</f>
        <v/>
      </c>
      <c r="M167" s="772" t="str">
        <f>IF(C167="","",VLOOKUP(C167,Table_ingredients[],10,FALSE))</f>
        <v/>
      </c>
      <c r="N167" s="767" t="str">
        <f>IF(C167="","",VLOOKUP(C167,Table_ingredients[],12,FALSE))</f>
        <v/>
      </c>
      <c r="O167" s="472" t="str">
        <f t="shared" si="40"/>
        <v>No</v>
      </c>
      <c r="P167" s="471">
        <f t="shared" si="37"/>
        <v>0</v>
      </c>
      <c r="Q167" s="475" t="str">
        <f>IF(C167="","",VLOOKUP(C167,Table_ingredients[],13,FALSE))</f>
        <v/>
      </c>
      <c r="R167" s="471">
        <f t="shared" si="38"/>
        <v>0</v>
      </c>
      <c r="S167" s="104"/>
      <c r="T167" s="120">
        <f t="shared" si="39"/>
        <v>0</v>
      </c>
      <c r="V167" s="59" t="s">
        <v>841</v>
      </c>
      <c r="W167" s="46">
        <v>0.53200000000000003</v>
      </c>
      <c r="X167" s="46">
        <v>8.0000000000000002E-3</v>
      </c>
      <c r="Y167" s="46">
        <v>0.39200000000000002</v>
      </c>
      <c r="Z167" s="46">
        <v>3.5000000000000003E-2</v>
      </c>
      <c r="AA167" s="46">
        <v>6.8000000000000005E-2</v>
      </c>
      <c r="AB167" s="46">
        <v>8.0000000000000002E-3</v>
      </c>
      <c r="AC167" s="46">
        <v>0.08</v>
      </c>
      <c r="AD167" s="46">
        <v>8.5120000000000001E-2</v>
      </c>
      <c r="AE167" s="46">
        <v>0.92</v>
      </c>
      <c r="AF167" s="59" t="s">
        <v>1576</v>
      </c>
      <c r="AG167" s="59"/>
      <c r="AH167" s="59" t="s">
        <v>1635</v>
      </c>
    </row>
    <row r="168" spans="2:34" x14ac:dyDescent="0.25">
      <c r="B168" s="13" t="s">
        <v>522</v>
      </c>
      <c r="C168" s="764"/>
      <c r="D168" s="774"/>
      <c r="E168" s="761" t="str">
        <f>IF(C168="","",VLOOKUP(C168,Table_ingredients[],2,FALSE))</f>
        <v/>
      </c>
      <c r="F168" s="761" t="str">
        <f>IF(C168="","",VLOOKUP(C168,Table_ingredients[],3,FALSE))</f>
        <v/>
      </c>
      <c r="G168" s="761" t="str">
        <f>IF(C168="","",VLOOKUP(C168,Table_ingredients[],4,FALSE))</f>
        <v/>
      </c>
      <c r="H168" s="761" t="str">
        <f>IF(C168="","",VLOOKUP(C168,Table_ingredients[],5,FALSE))</f>
        <v/>
      </c>
      <c r="I168" s="761" t="str">
        <f>IF(C168="","",VLOOKUP(C168,Table_ingredients[],6,FALSE))</f>
        <v/>
      </c>
      <c r="J168" s="761" t="str">
        <f>IF(C168="","",VLOOKUP(C168,Table_ingredients[],7,FALSE))</f>
        <v/>
      </c>
      <c r="K168" s="761" t="str">
        <f>IF(C168="","",VLOOKUP(C168,Table_ingredients[],8,FALSE))</f>
        <v/>
      </c>
      <c r="L168" s="474" t="str">
        <f>IF(C168="","",VLOOKUP(C168,Table_ingredients[],9,FALSE))</f>
        <v/>
      </c>
      <c r="M168" s="772" t="str">
        <f>IF(C168="","",VLOOKUP(C168,Table_ingredients[],10,FALSE))</f>
        <v/>
      </c>
      <c r="N168" s="767" t="str">
        <f>IF(C168="","",VLOOKUP(C168,Table_ingredients[],12,FALSE))</f>
        <v/>
      </c>
      <c r="O168" s="472" t="str">
        <f t="shared" si="40"/>
        <v>No</v>
      </c>
      <c r="P168" s="471">
        <f t="shared" si="37"/>
        <v>0</v>
      </c>
      <c r="Q168" s="475" t="str">
        <f>IF(C168="","",VLOOKUP(C168,Table_ingredients[],13,FALSE))</f>
        <v/>
      </c>
      <c r="R168" s="471">
        <f t="shared" si="38"/>
        <v>0</v>
      </c>
      <c r="S168" s="104"/>
      <c r="T168" s="120">
        <f t="shared" si="39"/>
        <v>0</v>
      </c>
      <c r="V168" s="59" t="s">
        <v>635</v>
      </c>
      <c r="W168" s="46">
        <v>0.66</v>
      </c>
      <c r="X168" s="46">
        <v>0.12</v>
      </c>
      <c r="Y168" s="46">
        <v>0.1</v>
      </c>
      <c r="Z168" s="46">
        <v>0</v>
      </c>
      <c r="AA168" s="46">
        <v>0.12</v>
      </c>
      <c r="AB168" s="46">
        <v>1.4999999999999999E-2</v>
      </c>
      <c r="AC168" s="46">
        <v>0.1</v>
      </c>
      <c r="AD168" s="46">
        <v>0.1056</v>
      </c>
      <c r="AE168" s="46">
        <v>0.9</v>
      </c>
      <c r="AF168" s="59" t="s">
        <v>1576</v>
      </c>
      <c r="AG168" s="59"/>
      <c r="AH168" s="59" t="s">
        <v>1635</v>
      </c>
    </row>
    <row r="169" spans="2:34" x14ac:dyDescent="0.25">
      <c r="B169" s="13" t="s">
        <v>523</v>
      </c>
      <c r="C169" s="764"/>
      <c r="D169" s="774"/>
      <c r="E169" s="761" t="str">
        <f>IF(C169="","",VLOOKUP(C169,Table_ingredients[],2,FALSE))</f>
        <v/>
      </c>
      <c r="F169" s="761" t="str">
        <f>IF(C169="","",VLOOKUP(C169,Table_ingredients[],3,FALSE))</f>
        <v/>
      </c>
      <c r="G169" s="761" t="str">
        <f>IF(C169="","",VLOOKUP(C169,Table_ingredients[],4,FALSE))</f>
        <v/>
      </c>
      <c r="H169" s="761" t="str">
        <f>IF(C169="","",VLOOKUP(C169,Table_ingredients[],5,FALSE))</f>
        <v/>
      </c>
      <c r="I169" s="761" t="str">
        <f>IF(C169="","",VLOOKUP(C169,Table_ingredients[],6,FALSE))</f>
        <v/>
      </c>
      <c r="J169" s="761" t="str">
        <f>IF(C169="","",VLOOKUP(C169,Table_ingredients[],7,FALSE))</f>
        <v/>
      </c>
      <c r="K169" s="761" t="str">
        <f>IF(C169="","",VLOOKUP(C169,Table_ingredients[],8,FALSE))</f>
        <v/>
      </c>
      <c r="L169" s="474" t="str">
        <f>IF(C169="","",VLOOKUP(C169,Table_ingredients[],9,FALSE))</f>
        <v/>
      </c>
      <c r="M169" s="772" t="str">
        <f>IF(C169="","",VLOOKUP(C169,Table_ingredients[],10,FALSE))</f>
        <v/>
      </c>
      <c r="N169" s="767" t="str">
        <f>IF(C169="","",VLOOKUP(C169,Table_ingredients[],12,FALSE))</f>
        <v/>
      </c>
      <c r="O169" s="472" t="str">
        <f t="shared" si="40"/>
        <v>No</v>
      </c>
      <c r="P169" s="471">
        <f t="shared" si="37"/>
        <v>0</v>
      </c>
      <c r="Q169" s="475" t="str">
        <f>IF(C169="","",VLOOKUP(C169,Table_ingredients[],13,FALSE))</f>
        <v/>
      </c>
      <c r="R169" s="471">
        <f t="shared" si="38"/>
        <v>0</v>
      </c>
      <c r="S169" s="104"/>
      <c r="T169" s="120">
        <f t="shared" si="39"/>
        <v>0</v>
      </c>
      <c r="V169" s="59" t="s">
        <v>636</v>
      </c>
      <c r="W169" s="46">
        <v>0.39500000000000002</v>
      </c>
      <c r="X169" s="46">
        <v>3.5000000000000003E-2</v>
      </c>
      <c r="Y169" s="46">
        <v>0.115</v>
      </c>
      <c r="Z169" s="46">
        <v>1.4999999999999999E-2</v>
      </c>
      <c r="AA169" s="46">
        <v>0.45500000000000002</v>
      </c>
      <c r="AB169" s="46">
        <v>7.690000000000001E-2</v>
      </c>
      <c r="AC169" s="46">
        <v>0.1</v>
      </c>
      <c r="AD169" s="46">
        <v>6.3200000000000006E-2</v>
      </c>
      <c r="AE169" s="46">
        <v>0.9</v>
      </c>
      <c r="AF169" s="59" t="s">
        <v>1576</v>
      </c>
      <c r="AG169" s="59"/>
      <c r="AH169" s="59" t="s">
        <v>1635</v>
      </c>
    </row>
    <row r="170" spans="2:34" x14ac:dyDescent="0.25">
      <c r="B170" s="13" t="s">
        <v>1057</v>
      </c>
      <c r="C170" s="764"/>
      <c r="D170" s="774"/>
      <c r="E170" s="761" t="str">
        <f>IF(C170="","",VLOOKUP(C170,Table_ingredients[],2,FALSE))</f>
        <v/>
      </c>
      <c r="F170" s="761" t="str">
        <f>IF(C170="","",VLOOKUP(C170,Table_ingredients[],3,FALSE))</f>
        <v/>
      </c>
      <c r="G170" s="761" t="str">
        <f>IF(C170="","",VLOOKUP(C170,Table_ingredients[],4,FALSE))</f>
        <v/>
      </c>
      <c r="H170" s="761" t="str">
        <f>IF(C170="","",VLOOKUP(C170,Table_ingredients[],5,FALSE))</f>
        <v/>
      </c>
      <c r="I170" s="761" t="str">
        <f>IF(C170="","",VLOOKUP(C170,Table_ingredients[],6,FALSE))</f>
        <v/>
      </c>
      <c r="J170" s="761" t="str">
        <f>IF(C170="","",VLOOKUP(C170,Table_ingredients[],7,FALSE))</f>
        <v/>
      </c>
      <c r="K170" s="761" t="str">
        <f>IF(C170="","",VLOOKUP(C170,Table_ingredients[],8,FALSE))</f>
        <v/>
      </c>
      <c r="L170" s="474" t="str">
        <f>IF(C170="","",VLOOKUP(C170,Table_ingredients[],9,FALSE))</f>
        <v/>
      </c>
      <c r="M170" s="772" t="str">
        <f>IF(C170="","",VLOOKUP(C170,Table_ingredients[],10,FALSE))</f>
        <v/>
      </c>
      <c r="N170" s="767" t="str">
        <f>IF(C170="","",VLOOKUP(C170,Table_ingredients[],12,FALSE))</f>
        <v/>
      </c>
      <c r="O170" s="472" t="str">
        <f t="shared" si="40"/>
        <v>No</v>
      </c>
      <c r="P170" s="471">
        <f t="shared" si="37"/>
        <v>0</v>
      </c>
      <c r="Q170" s="475" t="str">
        <f>IF(C170="","",VLOOKUP(C170,Table_ingredients[],13,FALSE))</f>
        <v/>
      </c>
      <c r="R170" s="471">
        <f t="shared" si="38"/>
        <v>0</v>
      </c>
      <c r="S170" s="104"/>
      <c r="T170" s="120">
        <f t="shared" si="39"/>
        <v>0</v>
      </c>
      <c r="V170" s="59" t="s">
        <v>1700</v>
      </c>
      <c r="W170" s="46">
        <v>0.74199999999999999</v>
      </c>
      <c r="X170" s="46">
        <v>0.11</v>
      </c>
      <c r="Y170" s="46">
        <v>8.6999999999999952E-2</v>
      </c>
      <c r="Z170" s="46">
        <v>0</v>
      </c>
      <c r="AA170" s="46">
        <v>6.1000000000000006E-2</v>
      </c>
      <c r="AB170" s="46">
        <v>6.9999999999999993E-3</v>
      </c>
      <c r="AC170" s="46">
        <v>0.08</v>
      </c>
      <c r="AD170" s="46">
        <v>0.11871999999999999</v>
      </c>
      <c r="AE170" s="46">
        <v>0.92</v>
      </c>
      <c r="AF170" s="59" t="s">
        <v>526</v>
      </c>
      <c r="AG170" s="59"/>
      <c r="AH170" s="59" t="s">
        <v>1635</v>
      </c>
    </row>
    <row r="171" spans="2:34" x14ac:dyDescent="0.25">
      <c r="B171" s="13" t="s">
        <v>1058</v>
      </c>
      <c r="C171" s="764"/>
      <c r="D171" s="774"/>
      <c r="E171" s="761" t="str">
        <f>IF(C171="","",VLOOKUP(C171,Table_ingredients[],2,FALSE))</f>
        <v/>
      </c>
      <c r="F171" s="761" t="str">
        <f>IF(C171="","",VLOOKUP(C171,Table_ingredients[],3,FALSE))</f>
        <v/>
      </c>
      <c r="G171" s="761" t="str">
        <f>IF(C171="","",VLOOKUP(C171,Table_ingredients[],4,FALSE))</f>
        <v/>
      </c>
      <c r="H171" s="761" t="str">
        <f>IF(C171="","",VLOOKUP(C171,Table_ingredients[],5,FALSE))</f>
        <v/>
      </c>
      <c r="I171" s="761" t="str">
        <f>IF(C171="","",VLOOKUP(C171,Table_ingredients[],6,FALSE))</f>
        <v/>
      </c>
      <c r="J171" s="761" t="str">
        <f>IF(C171="","",VLOOKUP(C171,Table_ingredients[],7,FALSE))</f>
        <v/>
      </c>
      <c r="K171" s="761" t="str">
        <f>IF(C171="","",VLOOKUP(C171,Table_ingredients[],8,FALSE))</f>
        <v/>
      </c>
      <c r="L171" s="474" t="str">
        <f>IF(C171="","",VLOOKUP(C171,Table_ingredients[],9,FALSE))</f>
        <v/>
      </c>
      <c r="M171" s="772" t="str">
        <f>IF(C171="","",VLOOKUP(C171,Table_ingredients[],10,FALSE))</f>
        <v/>
      </c>
      <c r="N171" s="767" t="str">
        <f>IF(C171="","",VLOOKUP(C171,Table_ingredients[],12,FALSE))</f>
        <v/>
      </c>
      <c r="O171" s="472" t="str">
        <f t="shared" si="40"/>
        <v>No</v>
      </c>
      <c r="P171" s="471">
        <f t="shared" si="37"/>
        <v>0</v>
      </c>
      <c r="Q171" s="475" t="str">
        <f>IF(C171="","",VLOOKUP(C171,Table_ingredients[],13,FALSE))</f>
        <v/>
      </c>
      <c r="R171" s="471">
        <f t="shared" si="38"/>
        <v>0</v>
      </c>
      <c r="S171" s="104"/>
      <c r="T171" s="120">
        <f t="shared" si="39"/>
        <v>0</v>
      </c>
      <c r="V171" s="59" t="s">
        <v>1701</v>
      </c>
      <c r="W171" s="46">
        <v>0.71299999999999997</v>
      </c>
      <c r="X171" s="46">
        <v>1.8000000000000002E-2</v>
      </c>
      <c r="Y171" s="46">
        <v>0.1075</v>
      </c>
      <c r="Z171" s="46">
        <v>0</v>
      </c>
      <c r="AA171" s="46">
        <v>0.16150000000000003</v>
      </c>
      <c r="AB171" s="46">
        <v>2.75E-2</v>
      </c>
      <c r="AC171" s="46">
        <v>0.08</v>
      </c>
      <c r="AD171" s="46">
        <v>0.11408</v>
      </c>
      <c r="AE171" s="46">
        <v>0.92</v>
      </c>
      <c r="AF171" s="59" t="s">
        <v>526</v>
      </c>
      <c r="AG171" s="59"/>
      <c r="AH171" s="59" t="s">
        <v>1635</v>
      </c>
    </row>
    <row r="172" spans="2:34" x14ac:dyDescent="0.25">
      <c r="B172" s="13" t="s">
        <v>1059</v>
      </c>
      <c r="C172" s="764"/>
      <c r="D172" s="774"/>
      <c r="E172" s="761" t="str">
        <f>IF(C172="","",VLOOKUP(C172,Table_ingredients[],2,FALSE))</f>
        <v/>
      </c>
      <c r="F172" s="761" t="str">
        <f>IF(C172="","",VLOOKUP(C172,Table_ingredients[],3,FALSE))</f>
        <v/>
      </c>
      <c r="G172" s="761" t="str">
        <f>IF(C172="","",VLOOKUP(C172,Table_ingredients[],4,FALSE))</f>
        <v/>
      </c>
      <c r="H172" s="761" t="str">
        <f>IF(C172="","",VLOOKUP(C172,Table_ingredients[],5,FALSE))</f>
        <v/>
      </c>
      <c r="I172" s="761" t="str">
        <f>IF(C172="","",VLOOKUP(C172,Table_ingredients[],6,FALSE))</f>
        <v/>
      </c>
      <c r="J172" s="761" t="str">
        <f>IF(C172="","",VLOOKUP(C172,Table_ingredients[],7,FALSE))</f>
        <v/>
      </c>
      <c r="K172" s="761" t="str">
        <f>IF(C172="","",VLOOKUP(C172,Table_ingredients[],8,FALSE))</f>
        <v/>
      </c>
      <c r="L172" s="474" t="str">
        <f>IF(C172="","",VLOOKUP(C172,Table_ingredients[],9,FALSE))</f>
        <v/>
      </c>
      <c r="M172" s="772" t="str">
        <f>IF(C172="","",VLOOKUP(C172,Table_ingredients[],10,FALSE))</f>
        <v/>
      </c>
      <c r="N172" s="767" t="str">
        <f>IF(C172="","",VLOOKUP(C172,Table_ingredients[],12,FALSE))</f>
        <v/>
      </c>
      <c r="O172" s="472" t="str">
        <f t="shared" si="40"/>
        <v>No</v>
      </c>
      <c r="P172" s="471">
        <f t="shared" si="37"/>
        <v>0</v>
      </c>
      <c r="Q172" s="475" t="str">
        <f>IF(C172="","",VLOOKUP(C172,Table_ingredients[],13,FALSE))</f>
        <v/>
      </c>
      <c r="R172" s="471">
        <f t="shared" si="38"/>
        <v>0</v>
      </c>
      <c r="S172" s="104"/>
      <c r="T172" s="120">
        <f t="shared" si="39"/>
        <v>0</v>
      </c>
      <c r="V172" s="59" t="s">
        <v>1702</v>
      </c>
      <c r="W172" s="46">
        <v>0.64599999999999991</v>
      </c>
      <c r="X172" s="46">
        <v>5.5E-2</v>
      </c>
      <c r="Y172" s="46">
        <v>0.11500000000000007</v>
      </c>
      <c r="Z172" s="46">
        <v>0</v>
      </c>
      <c r="AA172" s="46">
        <v>0.184</v>
      </c>
      <c r="AB172" s="46">
        <v>3.5000000000000003E-2</v>
      </c>
      <c r="AC172" s="46">
        <v>0.08</v>
      </c>
      <c r="AD172" s="46">
        <v>0.10335999999999998</v>
      </c>
      <c r="AE172" s="46">
        <v>0.92</v>
      </c>
      <c r="AF172" s="59" t="s">
        <v>526</v>
      </c>
      <c r="AG172" s="59"/>
      <c r="AH172" s="59" t="s">
        <v>1635</v>
      </c>
    </row>
    <row r="173" spans="2:34" x14ac:dyDescent="0.25">
      <c r="B173" s="13" t="s">
        <v>1060</v>
      </c>
      <c r="C173" s="764"/>
      <c r="D173" s="774"/>
      <c r="E173" s="761" t="str">
        <f>IF(C173="","",VLOOKUP(C173,Table_ingredients[],2,FALSE))</f>
        <v/>
      </c>
      <c r="F173" s="761" t="str">
        <f>IF(C173="","",VLOOKUP(C173,Table_ingredients[],3,FALSE))</f>
        <v/>
      </c>
      <c r="G173" s="761" t="str">
        <f>IF(C173="","",VLOOKUP(C173,Table_ingredients[],4,FALSE))</f>
        <v/>
      </c>
      <c r="H173" s="761" t="str">
        <f>IF(C173="","",VLOOKUP(C173,Table_ingredients[],5,FALSE))</f>
        <v/>
      </c>
      <c r="I173" s="761" t="str">
        <f>IF(C173="","",VLOOKUP(C173,Table_ingredients[],6,FALSE))</f>
        <v/>
      </c>
      <c r="J173" s="761" t="str">
        <f>IF(C173="","",VLOOKUP(C173,Table_ingredients[],7,FALSE))</f>
        <v/>
      </c>
      <c r="K173" s="761" t="str">
        <f>IF(C173="","",VLOOKUP(C173,Table_ingredients[],8,FALSE))</f>
        <v/>
      </c>
      <c r="L173" s="474" t="str">
        <f>IF(C173="","",VLOOKUP(C173,Table_ingredients[],9,FALSE))</f>
        <v/>
      </c>
      <c r="M173" s="772" t="str">
        <f>IF(C173="","",VLOOKUP(C173,Table_ingredients[],10,FALSE))</f>
        <v/>
      </c>
      <c r="N173" s="767" t="str">
        <f>IF(C173="","",VLOOKUP(C173,Table_ingredients[],12,FALSE))</f>
        <v/>
      </c>
      <c r="O173" s="472" t="str">
        <f t="shared" si="40"/>
        <v>No</v>
      </c>
      <c r="P173" s="471">
        <f t="shared" si="37"/>
        <v>0</v>
      </c>
      <c r="Q173" s="475" t="str">
        <f>IF(C173="","",VLOOKUP(C173,Table_ingredients[],13,FALSE))</f>
        <v/>
      </c>
      <c r="R173" s="471">
        <f t="shared" si="38"/>
        <v>0</v>
      </c>
      <c r="S173" s="104"/>
      <c r="T173" s="120">
        <f t="shared" si="39"/>
        <v>0</v>
      </c>
      <c r="V173" s="59" t="s">
        <v>588</v>
      </c>
      <c r="W173" s="46">
        <v>0.54</v>
      </c>
      <c r="X173" s="46">
        <v>8.6999999999999994E-2</v>
      </c>
      <c r="Y173" s="46">
        <v>0.13499999999999995</v>
      </c>
      <c r="Z173" s="46">
        <v>6.9999999999999993E-3</v>
      </c>
      <c r="AA173" s="46">
        <v>0.23800000000000002</v>
      </c>
      <c r="AB173" s="46">
        <v>3.0499999999999999E-2</v>
      </c>
      <c r="AC173" s="46">
        <v>0.1</v>
      </c>
      <c r="AD173" s="46">
        <v>8.6400000000000005E-2</v>
      </c>
      <c r="AE173" s="46">
        <v>0.9</v>
      </c>
      <c r="AF173" s="59" t="s">
        <v>1576</v>
      </c>
      <c r="AG173" s="59"/>
      <c r="AH173" s="59" t="s">
        <v>1635</v>
      </c>
    </row>
    <row r="174" spans="2:34" x14ac:dyDescent="0.25">
      <c r="B174" s="13" t="s">
        <v>1061</v>
      </c>
      <c r="C174" s="764"/>
      <c r="D174" s="774"/>
      <c r="E174" s="761" t="str">
        <f>IF(C174="","",VLOOKUP(C174,Table_ingredients[],2,FALSE))</f>
        <v/>
      </c>
      <c r="F174" s="761" t="str">
        <f>IF(C174="","",VLOOKUP(C174,Table_ingredients[],3,FALSE))</f>
        <v/>
      </c>
      <c r="G174" s="761" t="str">
        <f>IF(C174="","",VLOOKUP(C174,Table_ingredients[],4,FALSE))</f>
        <v/>
      </c>
      <c r="H174" s="761" t="str">
        <f>IF(C174="","",VLOOKUP(C174,Table_ingredients[],5,FALSE))</f>
        <v/>
      </c>
      <c r="I174" s="761" t="str">
        <f>IF(C174="","",VLOOKUP(C174,Table_ingredients[],6,FALSE))</f>
        <v/>
      </c>
      <c r="J174" s="761" t="str">
        <f>IF(C174="","",VLOOKUP(C174,Table_ingredients[],7,FALSE))</f>
        <v/>
      </c>
      <c r="K174" s="761" t="str">
        <f>IF(C174="","",VLOOKUP(C174,Table_ingredients[],8,FALSE))</f>
        <v/>
      </c>
      <c r="L174" s="474" t="str">
        <f>IF(C174="","",VLOOKUP(C174,Table_ingredients[],9,FALSE))</f>
        <v/>
      </c>
      <c r="M174" s="772" t="str">
        <f>IF(C174="","",VLOOKUP(C174,Table_ingredients[],10,FALSE))</f>
        <v/>
      </c>
      <c r="N174" s="767" t="str">
        <f>IF(C174="","",VLOOKUP(C174,Table_ingredients[],12,FALSE))</f>
        <v/>
      </c>
      <c r="O174" s="472" t="str">
        <f t="shared" si="40"/>
        <v>No</v>
      </c>
      <c r="P174" s="471">
        <f t="shared" si="37"/>
        <v>0</v>
      </c>
      <c r="Q174" s="475" t="str">
        <f>IF(C174="","",VLOOKUP(C174,Table_ingredients[],13,FALSE))</f>
        <v/>
      </c>
      <c r="R174" s="471">
        <f t="shared" si="38"/>
        <v>0</v>
      </c>
      <c r="S174" s="104"/>
      <c r="T174" s="120">
        <f t="shared" si="39"/>
        <v>0</v>
      </c>
      <c r="V174" s="59" t="s">
        <v>589</v>
      </c>
      <c r="W174" s="46">
        <v>0.63800000000000001</v>
      </c>
      <c r="X174" s="46">
        <v>8.1000000000000003E-2</v>
      </c>
      <c r="Y174" s="46">
        <v>9.4000000000000028E-2</v>
      </c>
      <c r="Z174" s="46">
        <v>2E-3</v>
      </c>
      <c r="AA174" s="46">
        <v>0.187</v>
      </c>
      <c r="AB174" s="46">
        <v>2.8500000000000001E-2</v>
      </c>
      <c r="AC174" s="46">
        <v>9.0999999999999942E-2</v>
      </c>
      <c r="AD174" s="46">
        <v>0.10208</v>
      </c>
      <c r="AE174" s="46">
        <v>0.90900000000000003</v>
      </c>
      <c r="AF174" s="59" t="s">
        <v>1576</v>
      </c>
      <c r="AG174" s="59"/>
      <c r="AH174" s="59" t="s">
        <v>1635</v>
      </c>
    </row>
    <row r="175" spans="2:34" ht="15.75" thickBot="1" x14ac:dyDescent="0.3">
      <c r="B175" s="16" t="s">
        <v>1062</v>
      </c>
      <c r="C175" s="765"/>
      <c r="D175" s="775"/>
      <c r="E175" s="776" t="str">
        <f>IF(C175="","",VLOOKUP(C175,Table_ingredients[],2,FALSE))</f>
        <v/>
      </c>
      <c r="F175" s="776" t="str">
        <f>IF(C175="","",VLOOKUP(C175,Table_ingredients[],3,FALSE))</f>
        <v/>
      </c>
      <c r="G175" s="776" t="str">
        <f>IF(C175="","",VLOOKUP(C175,Table_ingredients[],4,FALSE))</f>
        <v/>
      </c>
      <c r="H175" s="776" t="str">
        <f>IF(C175="","",VLOOKUP(C175,Table_ingredients[],5,FALSE))</f>
        <v/>
      </c>
      <c r="I175" s="776" t="str">
        <f>IF(C175="","",VLOOKUP(C175,Table_ingredients[],6,FALSE))</f>
        <v/>
      </c>
      <c r="J175" s="776" t="str">
        <f>IF(C175="","",VLOOKUP(C175,Table_ingredients[],7,FALSE))</f>
        <v/>
      </c>
      <c r="K175" s="776" t="str">
        <f>IF(C175="","",VLOOKUP(C175,Table_ingredients[],8,FALSE))</f>
        <v/>
      </c>
      <c r="L175" s="777" t="str">
        <f>IF(C175="","",VLOOKUP(C175,Table_ingredients[],9,FALSE))</f>
        <v/>
      </c>
      <c r="M175" s="778" t="str">
        <f>IF(C175="","",VLOOKUP(C175,Table_ingredients[],10,FALSE))</f>
        <v/>
      </c>
      <c r="N175" s="767" t="str">
        <f>IF(C175="","",VLOOKUP(C175,Table_ingredients[],12,FALSE))</f>
        <v/>
      </c>
      <c r="O175" s="479" t="str">
        <f t="shared" si="40"/>
        <v>No</v>
      </c>
      <c r="P175" s="478">
        <f t="shared" si="37"/>
        <v>0</v>
      </c>
      <c r="Q175" s="475" t="str">
        <f>IF(C175="","",VLOOKUP(C175,Table_ingredients[],13,FALSE))</f>
        <v/>
      </c>
      <c r="R175" s="478">
        <f t="shared" si="38"/>
        <v>0</v>
      </c>
      <c r="S175" s="477"/>
      <c r="T175" s="120">
        <f t="shared" si="39"/>
        <v>0</v>
      </c>
      <c r="V175" s="59" t="s">
        <v>590</v>
      </c>
      <c r="W175" s="46">
        <v>0.7</v>
      </c>
      <c r="X175" s="46">
        <v>0.1</v>
      </c>
      <c r="Y175" s="46">
        <v>0.08</v>
      </c>
      <c r="Z175" s="46">
        <v>0</v>
      </c>
      <c r="AA175" s="46">
        <v>0.12</v>
      </c>
      <c r="AB175" s="46">
        <v>2.4E-2</v>
      </c>
      <c r="AC175" s="46">
        <v>0.08</v>
      </c>
      <c r="AD175" s="46">
        <v>0.11199999999999999</v>
      </c>
      <c r="AE175" s="46">
        <v>0.92</v>
      </c>
      <c r="AF175" s="59" t="s">
        <v>1576</v>
      </c>
      <c r="AG175" s="59"/>
      <c r="AH175" s="59" t="s">
        <v>1635</v>
      </c>
    </row>
    <row r="176" spans="2:34" ht="15.75" thickBot="1" x14ac:dyDescent="0.3">
      <c r="B176" s="26"/>
      <c r="C176" s="483" t="s">
        <v>1123</v>
      </c>
      <c r="D176" s="484">
        <f>SUM(D160:D175)</f>
        <v>0</v>
      </c>
      <c r="E176" s="759">
        <f>SUMPRODUCT($D$16:$D$31,E160:E175)</f>
        <v>0</v>
      </c>
      <c r="F176" s="759">
        <f t="shared" ref="F176:M176" si="41">SUMPRODUCT($D$16:$D$31,F160:F175)</f>
        <v>0</v>
      </c>
      <c r="G176" s="759">
        <f t="shared" si="41"/>
        <v>0</v>
      </c>
      <c r="H176" s="759">
        <f t="shared" si="41"/>
        <v>0</v>
      </c>
      <c r="I176" s="759">
        <f t="shared" si="41"/>
        <v>0</v>
      </c>
      <c r="J176" s="759">
        <f t="shared" si="41"/>
        <v>0</v>
      </c>
      <c r="K176" s="759">
        <f t="shared" si="41"/>
        <v>0</v>
      </c>
      <c r="L176" s="759">
        <f t="shared" si="41"/>
        <v>0</v>
      </c>
      <c r="M176" s="759">
        <f t="shared" si="41"/>
        <v>0</v>
      </c>
      <c r="N176" s="779"/>
      <c r="O176" s="780"/>
      <c r="P176" s="484">
        <f>SUM(P160:P175)</f>
        <v>0</v>
      </c>
      <c r="Q176" s="91"/>
      <c r="R176" s="485">
        <f>SUM(R160:R175)</f>
        <v>0</v>
      </c>
      <c r="S176" s="91"/>
      <c r="T176" s="486">
        <f>SUM(T160:T175)</f>
        <v>0</v>
      </c>
      <c r="V176" s="59" t="s">
        <v>591</v>
      </c>
      <c r="W176" s="46">
        <v>0.69</v>
      </c>
      <c r="X176" s="46">
        <v>7.5999999999999998E-2</v>
      </c>
      <c r="Y176" s="46">
        <v>6.0999999999999978E-2</v>
      </c>
      <c r="Z176" s="46">
        <v>5.0000000000000001E-3</v>
      </c>
      <c r="AA176" s="46">
        <v>0.17300000000000001</v>
      </c>
      <c r="AB176" s="46">
        <v>0.03</v>
      </c>
      <c r="AC176" s="46">
        <v>5.5999999999999946E-2</v>
      </c>
      <c r="AD176" s="46">
        <v>0.1104</v>
      </c>
      <c r="AE176" s="46">
        <v>0.94400000000000006</v>
      </c>
      <c r="AF176" s="59" t="s">
        <v>1576</v>
      </c>
      <c r="AG176" s="59"/>
      <c r="AH176" s="59" t="s">
        <v>1635</v>
      </c>
    </row>
    <row r="177" spans="2:34" ht="15.75" thickBot="1" x14ac:dyDescent="0.3">
      <c r="B177" s="480"/>
      <c r="C177" s="481"/>
      <c r="D177" s="482" t="str">
        <f>IF(D176=100%,"OK","Not 100%")</f>
        <v>Not 100%</v>
      </c>
      <c r="E177" s="760"/>
      <c r="F177" s="760"/>
      <c r="G177" s="760"/>
      <c r="H177" s="760"/>
      <c r="I177" s="760"/>
      <c r="J177" s="760"/>
      <c r="K177" s="760"/>
      <c r="L177" s="846"/>
      <c r="M177" s="847"/>
      <c r="N177" s="847"/>
      <c r="O177" s="847"/>
      <c r="P177" s="847"/>
      <c r="Q177" s="847"/>
      <c r="R177" s="847"/>
      <c r="S177" s="847"/>
      <c r="T177" s="848"/>
      <c r="V177" s="59" t="s">
        <v>592</v>
      </c>
      <c r="W177" s="46">
        <v>0.67</v>
      </c>
      <c r="X177" s="46">
        <v>8.8000000000000009E-2</v>
      </c>
      <c r="Y177" s="46">
        <v>8.7999999999999995E-2</v>
      </c>
      <c r="Z177" s="46">
        <v>6.9999999999999993E-3</v>
      </c>
      <c r="AA177" s="46">
        <v>0.154</v>
      </c>
      <c r="AB177" s="46">
        <v>2.53E-2</v>
      </c>
      <c r="AC177" s="46">
        <v>8.0999999999999947E-2</v>
      </c>
      <c r="AD177" s="46">
        <v>0.1072</v>
      </c>
      <c r="AE177" s="46">
        <v>0.91900000000000004</v>
      </c>
      <c r="AF177" s="59" t="s">
        <v>1576</v>
      </c>
      <c r="AG177" s="59"/>
      <c r="AH177" s="59" t="s">
        <v>1635</v>
      </c>
    </row>
    <row r="178" spans="2:34" ht="15.75" thickBot="1" x14ac:dyDescent="0.3">
      <c r="V178" s="59" t="s">
        <v>584</v>
      </c>
      <c r="W178" s="46">
        <v>0.63600000000000001</v>
      </c>
      <c r="X178" s="46">
        <v>8.4000000000000005E-2</v>
      </c>
      <c r="Y178" s="46">
        <v>0.124</v>
      </c>
      <c r="Z178" s="46">
        <v>5.0000000000000001E-3</v>
      </c>
      <c r="AA178" s="46">
        <v>0.156</v>
      </c>
      <c r="AB178" s="46">
        <v>2.7000000000000003E-2</v>
      </c>
      <c r="AC178" s="46">
        <v>0.08</v>
      </c>
      <c r="AD178" s="46">
        <v>0.10176</v>
      </c>
      <c r="AE178" s="46">
        <v>0.92</v>
      </c>
      <c r="AF178" s="59" t="s">
        <v>1576</v>
      </c>
      <c r="AG178" s="59"/>
      <c r="AH178" s="59" t="s">
        <v>1635</v>
      </c>
    </row>
    <row r="179" spans="2:34" ht="21.75" thickBot="1" x14ac:dyDescent="0.4">
      <c r="B179" s="860" t="s">
        <v>1475</v>
      </c>
      <c r="C179" s="861"/>
      <c r="D179" s="861"/>
      <c r="E179" s="861"/>
      <c r="F179" s="862"/>
      <c r="G179" s="862"/>
      <c r="H179" s="861"/>
      <c r="I179" s="861"/>
      <c r="J179" s="861"/>
      <c r="K179" s="861"/>
      <c r="L179" s="861"/>
      <c r="M179" s="861"/>
      <c r="N179" s="861"/>
      <c r="O179" s="861"/>
      <c r="P179" s="861"/>
      <c r="Q179" s="861"/>
      <c r="R179" s="861"/>
      <c r="S179" s="861"/>
      <c r="T179" s="863"/>
      <c r="V179" s="59" t="s">
        <v>593</v>
      </c>
      <c r="W179" s="46">
        <v>0.70200000000000007</v>
      </c>
      <c r="X179" s="46">
        <v>5.5999999999999994E-2</v>
      </c>
      <c r="Y179" s="46">
        <v>7.999999999999996E-2</v>
      </c>
      <c r="Z179" s="46">
        <v>0</v>
      </c>
      <c r="AA179" s="46">
        <v>0.16200000000000001</v>
      </c>
      <c r="AB179" s="46">
        <v>0.03</v>
      </c>
      <c r="AC179" s="46">
        <v>0.08</v>
      </c>
      <c r="AD179" s="46">
        <v>0.11232000000000002</v>
      </c>
      <c r="AE179" s="46">
        <v>0.92</v>
      </c>
      <c r="AF179" s="59" t="s">
        <v>1576</v>
      </c>
      <c r="AG179" s="59"/>
      <c r="AH179" s="59" t="s">
        <v>1635</v>
      </c>
    </row>
    <row r="180" spans="2:34" ht="15" customHeight="1" x14ac:dyDescent="0.25">
      <c r="B180" s="849" t="s">
        <v>1463</v>
      </c>
      <c r="C180" s="870"/>
      <c r="D180" s="873" t="s">
        <v>1193</v>
      </c>
      <c r="E180" s="875"/>
      <c r="F180" s="864" t="s">
        <v>1192</v>
      </c>
      <c r="G180" s="867"/>
      <c r="H180" s="877" t="s">
        <v>1188</v>
      </c>
      <c r="I180" s="491" t="s">
        <v>1464</v>
      </c>
      <c r="J180" s="495"/>
      <c r="K180" s="849" t="s">
        <v>1467</v>
      </c>
      <c r="L180" s="856" t="s">
        <v>1464</v>
      </c>
      <c r="M180" s="852"/>
      <c r="N180" s="853"/>
      <c r="O180" s="880"/>
      <c r="P180" s="881"/>
      <c r="Q180" s="881"/>
      <c r="R180" s="881"/>
      <c r="S180" s="881"/>
      <c r="T180" s="882"/>
      <c r="V180" s="59" t="s">
        <v>586</v>
      </c>
      <c r="W180" s="46">
        <v>0.70700000000000007</v>
      </c>
      <c r="X180" s="46">
        <v>9.6999999999999989E-2</v>
      </c>
      <c r="Y180" s="46">
        <v>7.8999999999999987E-2</v>
      </c>
      <c r="Z180" s="46">
        <v>3.0000000000000001E-3</v>
      </c>
      <c r="AA180" s="46">
        <v>0.11699999999999999</v>
      </c>
      <c r="AB180" s="46">
        <v>2.18E-2</v>
      </c>
      <c r="AC180" s="46">
        <v>7.4999999999999997E-2</v>
      </c>
      <c r="AD180" s="46">
        <v>0.11312000000000001</v>
      </c>
      <c r="AE180" s="46">
        <v>0.92500000000000004</v>
      </c>
      <c r="AF180" s="59" t="s">
        <v>1576</v>
      </c>
      <c r="AG180" s="59"/>
      <c r="AH180" s="59" t="s">
        <v>1635</v>
      </c>
    </row>
    <row r="181" spans="2:34" x14ac:dyDescent="0.25">
      <c r="B181" s="850"/>
      <c r="C181" s="871"/>
      <c r="D181" s="874"/>
      <c r="E181" s="876"/>
      <c r="F181" s="865"/>
      <c r="G181" s="868"/>
      <c r="H181" s="878"/>
      <c r="I181" s="489" t="s">
        <v>1465</v>
      </c>
      <c r="J181" s="496"/>
      <c r="K181" s="850"/>
      <c r="L181" s="857"/>
      <c r="M181" s="854"/>
      <c r="N181" s="855"/>
      <c r="O181" s="883"/>
      <c r="P181" s="884"/>
      <c r="Q181" s="884"/>
      <c r="R181" s="884"/>
      <c r="S181" s="884"/>
      <c r="T181" s="885"/>
      <c r="V181" s="59" t="s">
        <v>594</v>
      </c>
      <c r="W181" s="46">
        <v>0.65700000000000003</v>
      </c>
      <c r="X181" s="46">
        <v>0.127</v>
      </c>
      <c r="Y181" s="46">
        <v>6.9999999999999979E-2</v>
      </c>
      <c r="Z181" s="46">
        <v>0</v>
      </c>
      <c r="AA181" s="46">
        <v>0.14599999999999999</v>
      </c>
      <c r="AB181" s="46">
        <v>0.03</v>
      </c>
      <c r="AC181" s="46">
        <v>7.0000000000000007E-2</v>
      </c>
      <c r="AD181" s="46">
        <v>0.10512000000000001</v>
      </c>
      <c r="AE181" s="46">
        <v>0.93</v>
      </c>
      <c r="AF181" s="59" t="s">
        <v>1576</v>
      </c>
      <c r="AG181" s="59"/>
      <c r="AH181" s="59" t="s">
        <v>1635</v>
      </c>
    </row>
    <row r="182" spans="2:34" ht="15.75" thickBot="1" x14ac:dyDescent="0.3">
      <c r="B182" s="851"/>
      <c r="C182" s="872"/>
      <c r="D182" s="874"/>
      <c r="E182" s="876"/>
      <c r="F182" s="866"/>
      <c r="G182" s="869"/>
      <c r="H182" s="879"/>
      <c r="I182" s="490" t="s">
        <v>1466</v>
      </c>
      <c r="J182" s="497"/>
      <c r="K182" s="851"/>
      <c r="L182" s="490" t="s">
        <v>1468</v>
      </c>
      <c r="M182" s="858"/>
      <c r="N182" s="859"/>
      <c r="O182" s="886"/>
      <c r="P182" s="887"/>
      <c r="Q182" s="887"/>
      <c r="R182" s="887"/>
      <c r="S182" s="887"/>
      <c r="T182" s="888"/>
      <c r="V182" s="59" t="s">
        <v>595</v>
      </c>
      <c r="W182" s="46">
        <v>0.70700000000000007</v>
      </c>
      <c r="X182" s="46">
        <v>9.6999999999999989E-2</v>
      </c>
      <c r="Y182" s="46">
        <v>7.8999999999999987E-2</v>
      </c>
      <c r="Z182" s="46">
        <v>3.0000000000000001E-3</v>
      </c>
      <c r="AA182" s="46">
        <v>0.11699999999999999</v>
      </c>
      <c r="AB182" s="46">
        <v>2.18E-2</v>
      </c>
      <c r="AC182" s="46">
        <v>7.4999999999999997E-2</v>
      </c>
      <c r="AD182" s="46">
        <v>0.11312000000000001</v>
      </c>
      <c r="AE182" s="46">
        <v>0.92500000000000004</v>
      </c>
      <c r="AF182" s="59" t="s">
        <v>1576</v>
      </c>
      <c r="AG182" s="59"/>
      <c r="AH182" s="59" t="s">
        <v>1635</v>
      </c>
    </row>
    <row r="183" spans="2:34" ht="45.75" thickBot="1" x14ac:dyDescent="0.3">
      <c r="B183" s="488"/>
      <c r="C183" s="762" t="s">
        <v>511</v>
      </c>
      <c r="D183" s="768" t="s">
        <v>512</v>
      </c>
      <c r="E183" s="769" t="s">
        <v>1479</v>
      </c>
      <c r="F183" s="492" t="s">
        <v>1571</v>
      </c>
      <c r="G183" s="492" t="s">
        <v>1636</v>
      </c>
      <c r="H183" s="769" t="s">
        <v>1573</v>
      </c>
      <c r="I183" s="769" t="s">
        <v>1574</v>
      </c>
      <c r="J183" s="769" t="s">
        <v>1090</v>
      </c>
      <c r="K183" s="769" t="s">
        <v>1575</v>
      </c>
      <c r="L183" s="769" t="s">
        <v>1041</v>
      </c>
      <c r="M183" s="770" t="s">
        <v>1046</v>
      </c>
      <c r="N183" s="766" t="s">
        <v>1063</v>
      </c>
      <c r="O183" s="492" t="s">
        <v>1067</v>
      </c>
      <c r="P183" s="492" t="s">
        <v>1066</v>
      </c>
      <c r="Q183" s="492" t="s">
        <v>519</v>
      </c>
      <c r="R183" s="492"/>
      <c r="S183" s="493" t="s">
        <v>1189</v>
      </c>
      <c r="T183" s="494" t="s">
        <v>1190</v>
      </c>
      <c r="V183" s="59" t="s">
        <v>583</v>
      </c>
      <c r="W183" s="46">
        <v>0.74199999999999999</v>
      </c>
      <c r="X183" s="46">
        <v>0.05</v>
      </c>
      <c r="Y183" s="46">
        <v>0.10799999999999997</v>
      </c>
      <c r="Z183" s="46">
        <v>5.0000000000000001E-3</v>
      </c>
      <c r="AA183" s="46">
        <v>0.1</v>
      </c>
      <c r="AB183" s="46">
        <v>1.9E-2</v>
      </c>
      <c r="AC183" s="46">
        <v>9.2000000000000026E-2</v>
      </c>
      <c r="AD183" s="46">
        <v>0.11871999999999999</v>
      </c>
      <c r="AE183" s="46">
        <v>0.90799999999999992</v>
      </c>
      <c r="AF183" s="59" t="s">
        <v>1576</v>
      </c>
      <c r="AG183" s="59"/>
      <c r="AH183" s="59" t="s">
        <v>1635</v>
      </c>
    </row>
    <row r="184" spans="2:34" x14ac:dyDescent="0.25">
      <c r="B184" s="21" t="s">
        <v>513</v>
      </c>
      <c r="C184" s="763"/>
      <c r="D184" s="771"/>
      <c r="E184" s="761" t="str">
        <f>IF(C184="","",VLOOKUP(C184,Table_ingredients[],2,FALSE))</f>
        <v/>
      </c>
      <c r="F184" s="761" t="str">
        <f>IF(C184="","",VLOOKUP(C184,Table_ingredients[],3,FALSE))</f>
        <v/>
      </c>
      <c r="G184" s="761" t="str">
        <f>IF(C184="","",VLOOKUP(C184,Table_ingredients[],4,FALSE))</f>
        <v/>
      </c>
      <c r="H184" s="761" t="str">
        <f>IF(C184="","",VLOOKUP(C184,Table_ingredients[],5,FALSE))</f>
        <v/>
      </c>
      <c r="I184" s="761" t="str">
        <f>IF(C184="","",VLOOKUP(C184,Table_ingredients[],6,FALSE))</f>
        <v/>
      </c>
      <c r="J184" s="761" t="str">
        <f>IF(C184="","",VLOOKUP(C184,Table_ingredients[],7,FALSE))</f>
        <v/>
      </c>
      <c r="K184" s="761" t="str">
        <f>IF(C184="","",VLOOKUP(C184,Table_ingredients[],8,FALSE))</f>
        <v/>
      </c>
      <c r="L184" s="474" t="str">
        <f>IF(C184="","",VLOOKUP(C184,Table_ingredients[],9,FALSE))</f>
        <v/>
      </c>
      <c r="M184" s="772" t="str">
        <f>IF(C184="","",VLOOKUP(C184,Table_ingredients[],10,FALSE))</f>
        <v/>
      </c>
      <c r="N184" s="767" t="str">
        <f>IF(C184="","",VLOOKUP(C184,Table_ingredients[],12,FALSE))</f>
        <v/>
      </c>
      <c r="O184" s="476" t="str">
        <f>IF(N184=$C$3,"Yes","No")</f>
        <v>No</v>
      </c>
      <c r="P184" s="474">
        <f t="shared" ref="P184:P199" si="42">IF(O184="Yes",D184,0)</f>
        <v>0</v>
      </c>
      <c r="Q184" s="475" t="str">
        <f>IF(C184="","",VLOOKUP(C184,Table_ingredients[],13,FALSE))</f>
        <v/>
      </c>
      <c r="R184" s="474">
        <f t="shared" ref="R184:R199" si="43">IF(Q184="Yes",D184,0)</f>
        <v>0</v>
      </c>
      <c r="S184" s="109"/>
      <c r="T184" s="120">
        <f t="shared" ref="T184:T199" si="44">S184*D184*$C$12</f>
        <v>0</v>
      </c>
      <c r="V184" s="59" t="s">
        <v>596</v>
      </c>
      <c r="W184" s="46">
        <v>0.67299999999999993</v>
      </c>
      <c r="X184" s="46">
        <v>0.107</v>
      </c>
      <c r="Y184" s="46">
        <v>6.9000000000000034E-2</v>
      </c>
      <c r="Z184" s="46">
        <v>3.0000000000000001E-3</v>
      </c>
      <c r="AA184" s="46">
        <v>0.151</v>
      </c>
      <c r="AB184" s="46">
        <v>2.6000000000000002E-2</v>
      </c>
      <c r="AC184" s="46">
        <v>6.5000000000000002E-2</v>
      </c>
      <c r="AD184" s="46">
        <v>0.10767999999999998</v>
      </c>
      <c r="AE184" s="46">
        <v>0.93500000000000005</v>
      </c>
      <c r="AF184" s="59" t="s">
        <v>1576</v>
      </c>
      <c r="AG184" s="59"/>
      <c r="AH184" s="59" t="s">
        <v>1635</v>
      </c>
    </row>
    <row r="185" spans="2:34" x14ac:dyDescent="0.25">
      <c r="B185" s="13" t="s">
        <v>514</v>
      </c>
      <c r="C185" s="764"/>
      <c r="D185" s="773"/>
      <c r="E185" s="761" t="str">
        <f>IF(C185="","",VLOOKUP(C185,Table_ingredients[],2,FALSE))</f>
        <v/>
      </c>
      <c r="F185" s="761" t="str">
        <f>IF(C185="","",VLOOKUP(C185,Table_ingredients[],3,FALSE))</f>
        <v/>
      </c>
      <c r="G185" s="761" t="str">
        <f>IF(C185="","",VLOOKUP(C185,Table_ingredients[],4,FALSE))</f>
        <v/>
      </c>
      <c r="H185" s="761" t="str">
        <f>IF(C185="","",VLOOKUP(C185,Table_ingredients[],5,FALSE))</f>
        <v/>
      </c>
      <c r="I185" s="761" t="str">
        <f>IF(C185="","",VLOOKUP(C185,Table_ingredients[],6,FALSE))</f>
        <v/>
      </c>
      <c r="J185" s="761" t="str">
        <f>IF(C185="","",VLOOKUP(C185,Table_ingredients[],7,FALSE))</f>
        <v/>
      </c>
      <c r="K185" s="761" t="str">
        <f>IF(C185="","",VLOOKUP(C185,Table_ingredients[],8,FALSE))</f>
        <v/>
      </c>
      <c r="L185" s="474" t="str">
        <f>IF(C185="","",VLOOKUP(C185,Table_ingredients[],9,FALSE))</f>
        <v/>
      </c>
      <c r="M185" s="772" t="str">
        <f>IF(C185="","",VLOOKUP(C185,Table_ingredients[],10,FALSE))</f>
        <v/>
      </c>
      <c r="N185" s="767" t="str">
        <f>IF(C185="","",VLOOKUP(C185,Table_ingredients[],12,FALSE))</f>
        <v/>
      </c>
      <c r="O185" s="472" t="str">
        <f t="shared" ref="O185:O199" si="45">IF(N185=$C$3,"Yes","No")</f>
        <v>No</v>
      </c>
      <c r="P185" s="471">
        <f t="shared" si="42"/>
        <v>0</v>
      </c>
      <c r="Q185" s="475" t="str">
        <f>IF(C185="","",VLOOKUP(C185,Table_ingredients[],13,FALSE))</f>
        <v/>
      </c>
      <c r="R185" s="471">
        <f t="shared" si="43"/>
        <v>0</v>
      </c>
      <c r="S185" s="104"/>
      <c r="T185" s="120">
        <f t="shared" si="44"/>
        <v>0</v>
      </c>
      <c r="V185" s="59" t="s">
        <v>597</v>
      </c>
      <c r="W185" s="46">
        <v>0.63300000000000001</v>
      </c>
      <c r="X185" s="46">
        <v>8.5999999999999993E-2</v>
      </c>
      <c r="Y185" s="46">
        <v>7.7000000000000027E-2</v>
      </c>
      <c r="Z185" s="46">
        <v>3.0000000000000001E-3</v>
      </c>
      <c r="AA185" s="46">
        <v>0.20399999999999999</v>
      </c>
      <c r="AB185" s="46">
        <v>3.3099999999999997E-2</v>
      </c>
      <c r="AC185" s="46">
        <v>7.2999999999999968E-2</v>
      </c>
      <c r="AD185" s="46">
        <v>0.10128</v>
      </c>
      <c r="AE185" s="46">
        <v>0.92700000000000005</v>
      </c>
      <c r="AF185" s="59" t="s">
        <v>1576</v>
      </c>
      <c r="AG185" s="59"/>
      <c r="AH185" s="59" t="s">
        <v>1635</v>
      </c>
    </row>
    <row r="186" spans="2:34" x14ac:dyDescent="0.25">
      <c r="B186" s="13" t="s">
        <v>515</v>
      </c>
      <c r="C186" s="764"/>
      <c r="D186" s="773"/>
      <c r="E186" s="761" t="str">
        <f>IF(C186="","",VLOOKUP(C186,Table_ingredients[],2,FALSE))</f>
        <v/>
      </c>
      <c r="F186" s="761" t="str">
        <f>IF(C186="","",VLOOKUP(C186,Table_ingredients[],3,FALSE))</f>
        <v/>
      </c>
      <c r="G186" s="761" t="str">
        <f>IF(C186="","",VLOOKUP(C186,Table_ingredients[],4,FALSE))</f>
        <v/>
      </c>
      <c r="H186" s="761" t="str">
        <f>IF(C186="","",VLOOKUP(C186,Table_ingredients[],5,FALSE))</f>
        <v/>
      </c>
      <c r="I186" s="761" t="str">
        <f>IF(C186="","",VLOOKUP(C186,Table_ingredients[],6,FALSE))</f>
        <v/>
      </c>
      <c r="J186" s="761" t="str">
        <f>IF(C186="","",VLOOKUP(C186,Table_ingredients[],7,FALSE))</f>
        <v/>
      </c>
      <c r="K186" s="761" t="str">
        <f>IF(C186="","",VLOOKUP(C186,Table_ingredients[],8,FALSE))</f>
        <v/>
      </c>
      <c r="L186" s="474" t="str">
        <f>IF(C186="","",VLOOKUP(C186,Table_ingredients[],9,FALSE))</f>
        <v/>
      </c>
      <c r="M186" s="772" t="str">
        <f>IF(C186="","",VLOOKUP(C186,Table_ingredients[],10,FALSE))</f>
        <v/>
      </c>
      <c r="N186" s="767" t="str">
        <f>IF(C186="","",VLOOKUP(C186,Table_ingredients[],12,FALSE))</f>
        <v/>
      </c>
      <c r="O186" s="472" t="str">
        <f t="shared" si="45"/>
        <v>No</v>
      </c>
      <c r="P186" s="471">
        <f t="shared" si="42"/>
        <v>0</v>
      </c>
      <c r="Q186" s="475" t="str">
        <f>IF(C186="","",VLOOKUP(C186,Table_ingredients[],13,FALSE))</f>
        <v/>
      </c>
      <c r="R186" s="471">
        <f t="shared" si="43"/>
        <v>0</v>
      </c>
      <c r="S186" s="104"/>
      <c r="T186" s="120">
        <f t="shared" si="44"/>
        <v>0</v>
      </c>
      <c r="V186" s="59" t="s">
        <v>604</v>
      </c>
      <c r="W186" s="46">
        <v>0.6</v>
      </c>
      <c r="X186" s="46">
        <v>0.1</v>
      </c>
      <c r="Y186" s="46">
        <v>0.1</v>
      </c>
      <c r="Z186" s="46">
        <v>0</v>
      </c>
      <c r="AA186" s="46">
        <v>0.2</v>
      </c>
      <c r="AB186" s="46">
        <v>1.7500000000000002E-2</v>
      </c>
      <c r="AC186" s="46">
        <v>0.1</v>
      </c>
      <c r="AD186" s="46">
        <v>9.6000000000000002E-2</v>
      </c>
      <c r="AE186" s="46">
        <v>0.9</v>
      </c>
      <c r="AF186" s="59" t="s">
        <v>1576</v>
      </c>
      <c r="AG186" s="59"/>
      <c r="AH186" s="59" t="s">
        <v>1635</v>
      </c>
    </row>
    <row r="187" spans="2:34" x14ac:dyDescent="0.25">
      <c r="B187" s="13" t="s">
        <v>516</v>
      </c>
      <c r="C187" s="764"/>
      <c r="D187" s="773"/>
      <c r="E187" s="761" t="str">
        <f>IF(C187="","",VLOOKUP(C187,Table_ingredients[],2,FALSE))</f>
        <v/>
      </c>
      <c r="F187" s="761" t="str">
        <f>IF(C187="","",VLOOKUP(C187,Table_ingredients[],3,FALSE))</f>
        <v/>
      </c>
      <c r="G187" s="761" t="str">
        <f>IF(C187="","",VLOOKUP(C187,Table_ingredients[],4,FALSE))</f>
        <v/>
      </c>
      <c r="H187" s="761" t="str">
        <f>IF(C187="","",VLOOKUP(C187,Table_ingredients[],5,FALSE))</f>
        <v/>
      </c>
      <c r="I187" s="761" t="str">
        <f>IF(C187="","",VLOOKUP(C187,Table_ingredients[],6,FALSE))</f>
        <v/>
      </c>
      <c r="J187" s="761" t="str">
        <f>IF(C187="","",VLOOKUP(C187,Table_ingredients[],7,FALSE))</f>
        <v/>
      </c>
      <c r="K187" s="761" t="str">
        <f>IF(C187="","",VLOOKUP(C187,Table_ingredients[],8,FALSE))</f>
        <v/>
      </c>
      <c r="L187" s="474" t="str">
        <f>IF(C187="","",VLOOKUP(C187,Table_ingredients[],9,FALSE))</f>
        <v/>
      </c>
      <c r="M187" s="772" t="str">
        <f>IF(C187="","",VLOOKUP(C187,Table_ingredients[],10,FALSE))</f>
        <v/>
      </c>
      <c r="N187" s="767" t="str">
        <f>IF(C187="","",VLOOKUP(C187,Table_ingredients[],12,FALSE))</f>
        <v/>
      </c>
      <c r="O187" s="472" t="str">
        <f t="shared" si="45"/>
        <v>No</v>
      </c>
      <c r="P187" s="471">
        <f t="shared" si="42"/>
        <v>0</v>
      </c>
      <c r="Q187" s="475" t="str">
        <f>IF(C187="","",VLOOKUP(C187,Table_ingredients[],13,FALSE))</f>
        <v/>
      </c>
      <c r="R187" s="471">
        <f t="shared" si="43"/>
        <v>0</v>
      </c>
      <c r="S187" s="104"/>
      <c r="T187" s="120">
        <f t="shared" si="44"/>
        <v>0</v>
      </c>
      <c r="V187" s="59" t="s">
        <v>585</v>
      </c>
      <c r="W187" s="46">
        <v>0.67</v>
      </c>
      <c r="X187" s="46">
        <v>0.115</v>
      </c>
      <c r="Y187" s="46">
        <v>6.0999999999999999E-2</v>
      </c>
      <c r="Z187" s="46">
        <v>0</v>
      </c>
      <c r="AA187" s="46">
        <v>0.154</v>
      </c>
      <c r="AB187" s="46">
        <v>1.9E-2</v>
      </c>
      <c r="AC187" s="46">
        <v>6.0999999999999943E-2</v>
      </c>
      <c r="AD187" s="46">
        <v>0.1072</v>
      </c>
      <c r="AE187" s="46">
        <v>0.93900000000000006</v>
      </c>
      <c r="AF187" s="59" t="s">
        <v>1576</v>
      </c>
      <c r="AG187" s="59"/>
      <c r="AH187" s="59" t="s">
        <v>1635</v>
      </c>
    </row>
    <row r="188" spans="2:34" x14ac:dyDescent="0.25">
      <c r="B188" s="13" t="s">
        <v>517</v>
      </c>
      <c r="C188" s="764"/>
      <c r="D188" s="773"/>
      <c r="E188" s="761" t="str">
        <f>IF(C188="","",VLOOKUP(C188,Table_ingredients[],2,FALSE))</f>
        <v/>
      </c>
      <c r="F188" s="761" t="str">
        <f>IF(C188="","",VLOOKUP(C188,Table_ingredients[],3,FALSE))</f>
        <v/>
      </c>
      <c r="G188" s="761" t="str">
        <f>IF(C188="","",VLOOKUP(C188,Table_ingredients[],4,FALSE))</f>
        <v/>
      </c>
      <c r="H188" s="761" t="str">
        <f>IF(C188="","",VLOOKUP(C188,Table_ingredients[],5,FALSE))</f>
        <v/>
      </c>
      <c r="I188" s="761" t="str">
        <f>IF(C188="","",VLOOKUP(C188,Table_ingredients[],6,FALSE))</f>
        <v/>
      </c>
      <c r="J188" s="761" t="str">
        <f>IF(C188="","",VLOOKUP(C188,Table_ingredients[],7,FALSE))</f>
        <v/>
      </c>
      <c r="K188" s="761" t="str">
        <f>IF(C188="","",VLOOKUP(C188,Table_ingredients[],8,FALSE))</f>
        <v/>
      </c>
      <c r="L188" s="474" t="str">
        <f>IF(C188="","",VLOOKUP(C188,Table_ingredients[],9,FALSE))</f>
        <v/>
      </c>
      <c r="M188" s="772" t="str">
        <f>IF(C188="","",VLOOKUP(C188,Table_ingredients[],10,FALSE))</f>
        <v/>
      </c>
      <c r="N188" s="767" t="str">
        <f>IF(C188="","",VLOOKUP(C188,Table_ingredients[],12,FALSE))</f>
        <v/>
      </c>
      <c r="O188" s="472" t="str">
        <f t="shared" si="45"/>
        <v>No</v>
      </c>
      <c r="P188" s="471">
        <f t="shared" si="42"/>
        <v>0</v>
      </c>
      <c r="Q188" s="475" t="str">
        <f>IF(C188="","",VLOOKUP(C188,Table_ingredients[],13,FALSE))</f>
        <v/>
      </c>
      <c r="R188" s="471">
        <f t="shared" si="43"/>
        <v>0</v>
      </c>
      <c r="S188" s="104"/>
      <c r="T188" s="120">
        <f t="shared" si="44"/>
        <v>0</v>
      </c>
      <c r="V188" s="59" t="s">
        <v>598</v>
      </c>
      <c r="W188" s="46">
        <v>0.69499999999999995</v>
      </c>
      <c r="X188" s="46">
        <v>7.5999999999999998E-2</v>
      </c>
      <c r="Y188" s="46">
        <v>0.11299999999999999</v>
      </c>
      <c r="Z188" s="46">
        <v>0</v>
      </c>
      <c r="AA188" s="46">
        <v>0.11599999999999999</v>
      </c>
      <c r="AB188" s="46">
        <v>2.7900000000000001E-2</v>
      </c>
      <c r="AC188" s="46">
        <v>0.11299999999999998</v>
      </c>
      <c r="AD188" s="46">
        <v>0.11119999999999999</v>
      </c>
      <c r="AE188" s="46">
        <v>0.88700000000000001</v>
      </c>
      <c r="AF188" s="59" t="s">
        <v>1576</v>
      </c>
      <c r="AG188" s="59"/>
      <c r="AH188" s="59" t="s">
        <v>1635</v>
      </c>
    </row>
    <row r="189" spans="2:34" x14ac:dyDescent="0.25">
      <c r="B189" s="13" t="s">
        <v>518</v>
      </c>
      <c r="C189" s="764"/>
      <c r="D189" s="773"/>
      <c r="E189" s="761" t="str">
        <f>IF(C189="","",VLOOKUP(C189,Table_ingredients[],2,FALSE))</f>
        <v/>
      </c>
      <c r="F189" s="761" t="str">
        <f>IF(C189="","",VLOOKUP(C189,Table_ingredients[],3,FALSE))</f>
        <v/>
      </c>
      <c r="G189" s="761" t="str">
        <f>IF(C189="","",VLOOKUP(C189,Table_ingredients[],4,FALSE))</f>
        <v/>
      </c>
      <c r="H189" s="761" t="str">
        <f>IF(C189="","",VLOOKUP(C189,Table_ingredients[],5,FALSE))</f>
        <v/>
      </c>
      <c r="I189" s="761" t="str">
        <f>IF(C189="","",VLOOKUP(C189,Table_ingredients[],6,FALSE))</f>
        <v/>
      </c>
      <c r="J189" s="761" t="str">
        <f>IF(C189="","",VLOOKUP(C189,Table_ingredients[],7,FALSE))</f>
        <v/>
      </c>
      <c r="K189" s="761" t="str">
        <f>IF(C189="","",VLOOKUP(C189,Table_ingredients[],8,FALSE))</f>
        <v/>
      </c>
      <c r="L189" s="474" t="str">
        <f>IF(C189="","",VLOOKUP(C189,Table_ingredients[],9,FALSE))</f>
        <v/>
      </c>
      <c r="M189" s="772" t="str">
        <f>IF(C189="","",VLOOKUP(C189,Table_ingredients[],10,FALSE))</f>
        <v/>
      </c>
      <c r="N189" s="767" t="str">
        <f>IF(C189="","",VLOOKUP(C189,Table_ingredients[],12,FALSE))</f>
        <v/>
      </c>
      <c r="O189" s="472" t="str">
        <f t="shared" si="45"/>
        <v>No</v>
      </c>
      <c r="P189" s="471">
        <f t="shared" si="42"/>
        <v>0</v>
      </c>
      <c r="Q189" s="475" t="str">
        <f>IF(C189="","",VLOOKUP(C189,Table_ingredients[],13,FALSE))</f>
        <v/>
      </c>
      <c r="R189" s="471">
        <f t="shared" si="43"/>
        <v>0</v>
      </c>
      <c r="S189" s="104"/>
      <c r="T189" s="120">
        <f t="shared" si="44"/>
        <v>0</v>
      </c>
      <c r="V189" s="59" t="s">
        <v>599</v>
      </c>
      <c r="W189" s="46">
        <v>0.61299999999999999</v>
      </c>
      <c r="X189" s="46">
        <v>8.8000000000000009E-2</v>
      </c>
      <c r="Y189" s="46">
        <v>8.8000000000000009E-2</v>
      </c>
      <c r="Z189" s="46">
        <v>6.0000000000000001E-3</v>
      </c>
      <c r="AA189" s="46">
        <v>0.21100000000000002</v>
      </c>
      <c r="AB189" s="46">
        <v>3.5699999999999996E-2</v>
      </c>
      <c r="AC189" s="46">
        <v>7.9000000000000056E-2</v>
      </c>
      <c r="AD189" s="46">
        <v>9.8080000000000001E-2</v>
      </c>
      <c r="AE189" s="46">
        <v>0.92099999999999993</v>
      </c>
      <c r="AF189" s="59" t="s">
        <v>1576</v>
      </c>
      <c r="AG189" s="59"/>
      <c r="AH189" s="59" t="s">
        <v>1635</v>
      </c>
    </row>
    <row r="190" spans="2:34" x14ac:dyDescent="0.25">
      <c r="B190" s="13" t="s">
        <v>520</v>
      </c>
      <c r="C190" s="764"/>
      <c r="D190" s="773"/>
      <c r="E190" s="761" t="str">
        <f>IF(C190="","",VLOOKUP(C190,Table_ingredients[],2,FALSE))</f>
        <v/>
      </c>
      <c r="F190" s="761" t="str">
        <f>IF(C190="","",VLOOKUP(C190,Table_ingredients[],3,FALSE))</f>
        <v/>
      </c>
      <c r="G190" s="761" t="str">
        <f>IF(C190="","",VLOOKUP(C190,Table_ingredients[],4,FALSE))</f>
        <v/>
      </c>
      <c r="H190" s="761" t="str">
        <f>IF(C190="","",VLOOKUP(C190,Table_ingredients[],5,FALSE))</f>
        <v/>
      </c>
      <c r="I190" s="761" t="str">
        <f>IF(C190="","",VLOOKUP(C190,Table_ingredients[],6,FALSE))</f>
        <v/>
      </c>
      <c r="J190" s="761" t="str">
        <f>IF(C190="","",VLOOKUP(C190,Table_ingredients[],7,FALSE))</f>
        <v/>
      </c>
      <c r="K190" s="761" t="str">
        <f>IF(C190="","",VLOOKUP(C190,Table_ingredients[],8,FALSE))</f>
        <v/>
      </c>
      <c r="L190" s="474" t="str">
        <f>IF(C190="","",VLOOKUP(C190,Table_ingredients[],9,FALSE))</f>
        <v/>
      </c>
      <c r="M190" s="772" t="str">
        <f>IF(C190="","",VLOOKUP(C190,Table_ingredients[],10,FALSE))</f>
        <v/>
      </c>
      <c r="N190" s="767" t="str">
        <f>IF(C190="","",VLOOKUP(C190,Table_ingredients[],12,FALSE))</f>
        <v/>
      </c>
      <c r="O190" s="472" t="str">
        <f t="shared" si="45"/>
        <v>No</v>
      </c>
      <c r="P190" s="471">
        <f t="shared" si="42"/>
        <v>0</v>
      </c>
      <c r="Q190" s="475" t="str">
        <f>IF(C190="","",VLOOKUP(C190,Table_ingredients[],13,FALSE))</f>
        <v/>
      </c>
      <c r="R190" s="471">
        <f t="shared" si="43"/>
        <v>0</v>
      </c>
      <c r="S190" s="104"/>
      <c r="T190" s="120">
        <f t="shared" si="44"/>
        <v>0</v>
      </c>
      <c r="V190" s="59" t="s">
        <v>600</v>
      </c>
      <c r="W190" s="46">
        <v>0.68</v>
      </c>
      <c r="X190" s="46">
        <v>0.105</v>
      </c>
      <c r="Y190" s="46">
        <v>8.5000000000000006E-2</v>
      </c>
      <c r="Z190" s="46">
        <v>0</v>
      </c>
      <c r="AA190" s="46">
        <v>0.13</v>
      </c>
      <c r="AB190" s="46">
        <v>2.1899999999999999E-2</v>
      </c>
      <c r="AC190" s="46">
        <v>8.2999999999999977E-2</v>
      </c>
      <c r="AD190" s="46">
        <v>0.10880000000000001</v>
      </c>
      <c r="AE190" s="46">
        <v>0.91700000000000004</v>
      </c>
      <c r="AF190" s="59" t="s">
        <v>1576</v>
      </c>
      <c r="AG190" s="59"/>
      <c r="AH190" s="59" t="s">
        <v>1635</v>
      </c>
    </row>
    <row r="191" spans="2:34" x14ac:dyDescent="0.25">
      <c r="B191" s="13" t="s">
        <v>521</v>
      </c>
      <c r="C191" s="764"/>
      <c r="D191" s="774"/>
      <c r="E191" s="761" t="str">
        <f>IF(C191="","",VLOOKUP(C191,Table_ingredients[],2,FALSE))</f>
        <v/>
      </c>
      <c r="F191" s="761" t="str">
        <f>IF(C191="","",VLOOKUP(C191,Table_ingredients[],3,FALSE))</f>
        <v/>
      </c>
      <c r="G191" s="761" t="str">
        <f>IF(C191="","",VLOOKUP(C191,Table_ingredients[],4,FALSE))</f>
        <v/>
      </c>
      <c r="H191" s="761" t="str">
        <f>IF(C191="","",VLOOKUP(C191,Table_ingredients[],5,FALSE))</f>
        <v/>
      </c>
      <c r="I191" s="761" t="str">
        <f>IF(C191="","",VLOOKUP(C191,Table_ingredients[],6,FALSE))</f>
        <v/>
      </c>
      <c r="J191" s="761" t="str">
        <f>IF(C191="","",VLOOKUP(C191,Table_ingredients[],7,FALSE))</f>
        <v/>
      </c>
      <c r="K191" s="761" t="str">
        <f>IF(C191="","",VLOOKUP(C191,Table_ingredients[],8,FALSE))</f>
        <v/>
      </c>
      <c r="L191" s="474" t="str">
        <f>IF(C191="","",VLOOKUP(C191,Table_ingredients[],9,FALSE))</f>
        <v/>
      </c>
      <c r="M191" s="772" t="str">
        <f>IF(C191="","",VLOOKUP(C191,Table_ingredients[],10,FALSE))</f>
        <v/>
      </c>
      <c r="N191" s="767" t="str">
        <f>IF(C191="","",VLOOKUP(C191,Table_ingredients[],12,FALSE))</f>
        <v/>
      </c>
      <c r="O191" s="472" t="str">
        <f t="shared" si="45"/>
        <v>No</v>
      </c>
      <c r="P191" s="471">
        <f t="shared" si="42"/>
        <v>0</v>
      </c>
      <c r="Q191" s="475" t="str">
        <f>IF(C191="","",VLOOKUP(C191,Table_ingredients[],13,FALSE))</f>
        <v/>
      </c>
      <c r="R191" s="471">
        <f t="shared" si="43"/>
        <v>0</v>
      </c>
      <c r="S191" s="104"/>
      <c r="T191" s="120">
        <f t="shared" si="44"/>
        <v>0</v>
      </c>
      <c r="V191" s="59" t="s">
        <v>601</v>
      </c>
      <c r="W191" s="46">
        <v>0.66099999999999992</v>
      </c>
      <c r="X191" s="46">
        <v>7.2999999999999995E-2</v>
      </c>
      <c r="Y191" s="46">
        <v>9.900000000000006E-2</v>
      </c>
      <c r="Z191" s="46">
        <v>8.0000000000000002E-3</v>
      </c>
      <c r="AA191" s="46">
        <v>0.16699999999999998</v>
      </c>
      <c r="AB191" s="46">
        <v>2.86E-2</v>
      </c>
      <c r="AC191" s="46">
        <v>6.5000000000000002E-2</v>
      </c>
      <c r="AD191" s="46">
        <v>0.10575999999999999</v>
      </c>
      <c r="AE191" s="46">
        <v>0.93500000000000005</v>
      </c>
      <c r="AF191" s="59" t="s">
        <v>1576</v>
      </c>
      <c r="AG191" s="59"/>
      <c r="AH191" s="59" t="s">
        <v>1635</v>
      </c>
    </row>
    <row r="192" spans="2:34" x14ac:dyDescent="0.25">
      <c r="B192" s="13" t="s">
        <v>522</v>
      </c>
      <c r="C192" s="764"/>
      <c r="D192" s="774"/>
      <c r="E192" s="761" t="str">
        <f>IF(C192="","",VLOOKUP(C192,Table_ingredients[],2,FALSE))</f>
        <v/>
      </c>
      <c r="F192" s="761" t="str">
        <f>IF(C192="","",VLOOKUP(C192,Table_ingredients[],3,FALSE))</f>
        <v/>
      </c>
      <c r="G192" s="761" t="str">
        <f>IF(C192="","",VLOOKUP(C192,Table_ingredients[],4,FALSE))</f>
        <v/>
      </c>
      <c r="H192" s="761" t="str">
        <f>IF(C192="","",VLOOKUP(C192,Table_ingredients[],5,FALSE))</f>
        <v/>
      </c>
      <c r="I192" s="761" t="str">
        <f>IF(C192="","",VLOOKUP(C192,Table_ingredients[],6,FALSE))</f>
        <v/>
      </c>
      <c r="J192" s="761" t="str">
        <f>IF(C192="","",VLOOKUP(C192,Table_ingredients[],7,FALSE))</f>
        <v/>
      </c>
      <c r="K192" s="761" t="str">
        <f>IF(C192="","",VLOOKUP(C192,Table_ingredients[],8,FALSE))</f>
        <v/>
      </c>
      <c r="L192" s="474" t="str">
        <f>IF(C192="","",VLOOKUP(C192,Table_ingredients[],9,FALSE))</f>
        <v/>
      </c>
      <c r="M192" s="772" t="str">
        <f>IF(C192="","",VLOOKUP(C192,Table_ingredients[],10,FALSE))</f>
        <v/>
      </c>
      <c r="N192" s="767" t="str">
        <f>IF(C192="","",VLOOKUP(C192,Table_ingredients[],12,FALSE))</f>
        <v/>
      </c>
      <c r="O192" s="472" t="str">
        <f t="shared" si="45"/>
        <v>No</v>
      </c>
      <c r="P192" s="471">
        <f t="shared" si="42"/>
        <v>0</v>
      </c>
      <c r="Q192" s="475" t="str">
        <f>IF(C192="","",VLOOKUP(C192,Table_ingredients[],13,FALSE))</f>
        <v/>
      </c>
      <c r="R192" s="471">
        <f t="shared" si="43"/>
        <v>0</v>
      </c>
      <c r="S192" s="104"/>
      <c r="T192" s="120">
        <f t="shared" si="44"/>
        <v>0</v>
      </c>
      <c r="V192" s="59" t="s">
        <v>605</v>
      </c>
      <c r="W192" s="46">
        <v>0.5</v>
      </c>
      <c r="X192" s="46">
        <v>5.7000000000000002E-2</v>
      </c>
      <c r="Y192" s="46">
        <v>9.2999999999999972E-2</v>
      </c>
      <c r="Z192" s="46">
        <v>5.0000000000000001E-3</v>
      </c>
      <c r="AA192" s="46">
        <v>0.35</v>
      </c>
      <c r="AB192" s="46">
        <v>5.6600000000000004E-2</v>
      </c>
      <c r="AC192" s="46">
        <v>8.2000000000000031E-2</v>
      </c>
      <c r="AD192" s="46">
        <v>0.08</v>
      </c>
      <c r="AE192" s="46">
        <v>0.91799999999999993</v>
      </c>
      <c r="AF192" s="59" t="s">
        <v>1576</v>
      </c>
      <c r="AG192" s="59"/>
      <c r="AH192" s="59" t="s">
        <v>1635</v>
      </c>
    </row>
    <row r="193" spans="2:34" x14ac:dyDescent="0.25">
      <c r="B193" s="13" t="s">
        <v>523</v>
      </c>
      <c r="C193" s="764"/>
      <c r="D193" s="774"/>
      <c r="E193" s="761" t="str">
        <f>IF(C193="","",VLOOKUP(C193,Table_ingredients[],2,FALSE))</f>
        <v/>
      </c>
      <c r="F193" s="761" t="str">
        <f>IF(C193="","",VLOOKUP(C193,Table_ingredients[],3,FALSE))</f>
        <v/>
      </c>
      <c r="G193" s="761" t="str">
        <f>IF(C193="","",VLOOKUP(C193,Table_ingredients[],4,FALSE))</f>
        <v/>
      </c>
      <c r="H193" s="761" t="str">
        <f>IF(C193="","",VLOOKUP(C193,Table_ingredients[],5,FALSE))</f>
        <v/>
      </c>
      <c r="I193" s="761" t="str">
        <f>IF(C193="","",VLOOKUP(C193,Table_ingredients[],6,FALSE))</f>
        <v/>
      </c>
      <c r="J193" s="761" t="str">
        <f>IF(C193="","",VLOOKUP(C193,Table_ingredients[],7,FALSE))</f>
        <v/>
      </c>
      <c r="K193" s="761" t="str">
        <f>IF(C193="","",VLOOKUP(C193,Table_ingredients[],8,FALSE))</f>
        <v/>
      </c>
      <c r="L193" s="474" t="str">
        <f>IF(C193="","",VLOOKUP(C193,Table_ingredients[],9,FALSE))</f>
        <v/>
      </c>
      <c r="M193" s="772" t="str">
        <f>IF(C193="","",VLOOKUP(C193,Table_ingredients[],10,FALSE))</f>
        <v/>
      </c>
      <c r="N193" s="767" t="str">
        <f>IF(C193="","",VLOOKUP(C193,Table_ingredients[],12,FALSE))</f>
        <v/>
      </c>
      <c r="O193" s="472" t="str">
        <f t="shared" si="45"/>
        <v>No</v>
      </c>
      <c r="P193" s="471">
        <f t="shared" si="42"/>
        <v>0</v>
      </c>
      <c r="Q193" s="475" t="str">
        <f>IF(C193="","",VLOOKUP(C193,Table_ingredients[],13,FALSE))</f>
        <v/>
      </c>
      <c r="R193" s="471">
        <f t="shared" si="43"/>
        <v>0</v>
      </c>
      <c r="S193" s="104"/>
      <c r="T193" s="120">
        <f t="shared" si="44"/>
        <v>0</v>
      </c>
      <c r="V193" s="59" t="s">
        <v>606</v>
      </c>
      <c r="W193" s="46">
        <v>0.51</v>
      </c>
      <c r="X193" s="46">
        <v>5.7999999999999996E-2</v>
      </c>
      <c r="Y193" s="46">
        <v>9.2000000000000026E-2</v>
      </c>
      <c r="Z193" s="46">
        <v>5.0000000000000001E-3</v>
      </c>
      <c r="AA193" s="46">
        <v>0.34</v>
      </c>
      <c r="AB193" s="46">
        <v>5.6600000000000004E-2</v>
      </c>
      <c r="AC193" s="46">
        <v>8.2000000000000031E-2</v>
      </c>
      <c r="AD193" s="46">
        <v>8.1600000000000006E-2</v>
      </c>
      <c r="AE193" s="46">
        <v>0.91799999999999993</v>
      </c>
      <c r="AF193" s="59" t="s">
        <v>1576</v>
      </c>
      <c r="AG193" s="59"/>
      <c r="AH193" s="59" t="s">
        <v>1635</v>
      </c>
    </row>
    <row r="194" spans="2:34" x14ac:dyDescent="0.25">
      <c r="B194" s="13" t="s">
        <v>1057</v>
      </c>
      <c r="C194" s="764"/>
      <c r="D194" s="774"/>
      <c r="E194" s="761" t="str">
        <f>IF(C194="","",VLOOKUP(C194,Table_ingredients[],2,FALSE))</f>
        <v/>
      </c>
      <c r="F194" s="761" t="str">
        <f>IF(C194="","",VLOOKUP(C194,Table_ingredients[],3,FALSE))</f>
        <v/>
      </c>
      <c r="G194" s="761" t="str">
        <f>IF(C194="","",VLOOKUP(C194,Table_ingredients[],4,FALSE))</f>
        <v/>
      </c>
      <c r="H194" s="761" t="str">
        <f>IF(C194="","",VLOOKUP(C194,Table_ingredients[],5,FALSE))</f>
        <v/>
      </c>
      <c r="I194" s="761" t="str">
        <f>IF(C194="","",VLOOKUP(C194,Table_ingredients[],6,FALSE))</f>
        <v/>
      </c>
      <c r="J194" s="761" t="str">
        <f>IF(C194="","",VLOOKUP(C194,Table_ingredients[],7,FALSE))</f>
        <v/>
      </c>
      <c r="K194" s="761" t="str">
        <f>IF(C194="","",VLOOKUP(C194,Table_ingredients[],8,FALSE))</f>
        <v/>
      </c>
      <c r="L194" s="474" t="str">
        <f>IF(C194="","",VLOOKUP(C194,Table_ingredients[],9,FALSE))</f>
        <v/>
      </c>
      <c r="M194" s="772" t="str">
        <f>IF(C194="","",VLOOKUP(C194,Table_ingredients[],10,FALSE))</f>
        <v/>
      </c>
      <c r="N194" s="767" t="str">
        <f>IF(C194="","",VLOOKUP(C194,Table_ingredients[],12,FALSE))</f>
        <v/>
      </c>
      <c r="O194" s="472" t="str">
        <f t="shared" si="45"/>
        <v>No</v>
      </c>
      <c r="P194" s="471">
        <f t="shared" si="42"/>
        <v>0</v>
      </c>
      <c r="Q194" s="475" t="str">
        <f>IF(C194="","",VLOOKUP(C194,Table_ingredients[],13,FALSE))</f>
        <v/>
      </c>
      <c r="R194" s="471">
        <f t="shared" si="43"/>
        <v>0</v>
      </c>
      <c r="S194" s="104"/>
      <c r="T194" s="120">
        <f t="shared" si="44"/>
        <v>0</v>
      </c>
      <c r="V194" s="59" t="s">
        <v>607</v>
      </c>
      <c r="W194" s="46">
        <v>0.52</v>
      </c>
      <c r="X194" s="46">
        <v>0.06</v>
      </c>
      <c r="Y194" s="46">
        <v>0.12</v>
      </c>
      <c r="Z194" s="46">
        <v>5.0000000000000001E-3</v>
      </c>
      <c r="AA194" s="46">
        <v>0.3</v>
      </c>
      <c r="AB194" s="46">
        <v>5.6600000000000004E-2</v>
      </c>
      <c r="AC194" s="46">
        <v>8.2000000000000031E-2</v>
      </c>
      <c r="AD194" s="46">
        <v>8.3199999999999996E-2</v>
      </c>
      <c r="AE194" s="46">
        <v>0.91799999999999993</v>
      </c>
      <c r="AF194" s="59" t="s">
        <v>1576</v>
      </c>
      <c r="AG194" s="59"/>
      <c r="AH194" s="59" t="s">
        <v>1635</v>
      </c>
    </row>
    <row r="195" spans="2:34" x14ac:dyDescent="0.25">
      <c r="B195" s="13" t="s">
        <v>1058</v>
      </c>
      <c r="C195" s="764"/>
      <c r="D195" s="774"/>
      <c r="E195" s="761" t="str">
        <f>IF(C195="","",VLOOKUP(C195,Table_ingredients[],2,FALSE))</f>
        <v/>
      </c>
      <c r="F195" s="761" t="str">
        <f>IF(C195="","",VLOOKUP(C195,Table_ingredients[],3,FALSE))</f>
        <v/>
      </c>
      <c r="G195" s="761" t="str">
        <f>IF(C195="","",VLOOKUP(C195,Table_ingredients[],4,FALSE))</f>
        <v/>
      </c>
      <c r="H195" s="761" t="str">
        <f>IF(C195="","",VLOOKUP(C195,Table_ingredients[],5,FALSE))</f>
        <v/>
      </c>
      <c r="I195" s="761" t="str">
        <f>IF(C195="","",VLOOKUP(C195,Table_ingredients[],6,FALSE))</f>
        <v/>
      </c>
      <c r="J195" s="761" t="str">
        <f>IF(C195="","",VLOOKUP(C195,Table_ingredients[],7,FALSE))</f>
        <v/>
      </c>
      <c r="K195" s="761" t="str">
        <f>IF(C195="","",VLOOKUP(C195,Table_ingredients[],8,FALSE))</f>
        <v/>
      </c>
      <c r="L195" s="474" t="str">
        <f>IF(C195="","",VLOOKUP(C195,Table_ingredients[],9,FALSE))</f>
        <v/>
      </c>
      <c r="M195" s="772" t="str">
        <f>IF(C195="","",VLOOKUP(C195,Table_ingredients[],10,FALSE))</f>
        <v/>
      </c>
      <c r="N195" s="767" t="str">
        <f>IF(C195="","",VLOOKUP(C195,Table_ingredients[],12,FALSE))</f>
        <v/>
      </c>
      <c r="O195" s="472" t="str">
        <f t="shared" si="45"/>
        <v>No</v>
      </c>
      <c r="P195" s="471">
        <f t="shared" si="42"/>
        <v>0</v>
      </c>
      <c r="Q195" s="475" t="str">
        <f>IF(C195="","",VLOOKUP(C195,Table_ingredients[],13,FALSE))</f>
        <v/>
      </c>
      <c r="R195" s="471">
        <f t="shared" si="43"/>
        <v>0</v>
      </c>
      <c r="S195" s="104"/>
      <c r="T195" s="120">
        <f t="shared" si="44"/>
        <v>0</v>
      </c>
      <c r="V195" s="59" t="s">
        <v>608</v>
      </c>
      <c r="W195" s="46">
        <v>0.53</v>
      </c>
      <c r="X195" s="46">
        <v>6.0999999999999999E-2</v>
      </c>
      <c r="Y195" s="46">
        <v>0.10899999999999999</v>
      </c>
      <c r="Z195" s="46">
        <v>5.0000000000000001E-3</v>
      </c>
      <c r="AA195" s="46">
        <v>0.3</v>
      </c>
      <c r="AB195" s="46">
        <v>5.6600000000000004E-2</v>
      </c>
      <c r="AC195" s="46">
        <v>8.2000000000000031E-2</v>
      </c>
      <c r="AD195" s="46">
        <v>8.48E-2</v>
      </c>
      <c r="AE195" s="46">
        <v>0.91799999999999993</v>
      </c>
      <c r="AF195" s="59" t="s">
        <v>1576</v>
      </c>
      <c r="AG195" s="59"/>
      <c r="AH195" s="59" t="s">
        <v>1635</v>
      </c>
    </row>
    <row r="196" spans="2:34" x14ac:dyDescent="0.25">
      <c r="B196" s="13" t="s">
        <v>1059</v>
      </c>
      <c r="C196" s="764"/>
      <c r="D196" s="774"/>
      <c r="E196" s="761" t="str">
        <f>IF(C196="","",VLOOKUP(C196,Table_ingredients[],2,FALSE))</f>
        <v/>
      </c>
      <c r="F196" s="761" t="str">
        <f>IF(C196="","",VLOOKUP(C196,Table_ingredients[],3,FALSE))</f>
        <v/>
      </c>
      <c r="G196" s="761" t="str">
        <f>IF(C196="","",VLOOKUP(C196,Table_ingredients[],4,FALSE))</f>
        <v/>
      </c>
      <c r="H196" s="761" t="str">
        <f>IF(C196="","",VLOOKUP(C196,Table_ingredients[],5,FALSE))</f>
        <v/>
      </c>
      <c r="I196" s="761" t="str">
        <f>IF(C196="","",VLOOKUP(C196,Table_ingredients[],6,FALSE))</f>
        <v/>
      </c>
      <c r="J196" s="761" t="str">
        <f>IF(C196="","",VLOOKUP(C196,Table_ingredients[],7,FALSE))</f>
        <v/>
      </c>
      <c r="K196" s="761" t="str">
        <f>IF(C196="","",VLOOKUP(C196,Table_ingredients[],8,FALSE))</f>
        <v/>
      </c>
      <c r="L196" s="474" t="str">
        <f>IF(C196="","",VLOOKUP(C196,Table_ingredients[],9,FALSE))</f>
        <v/>
      </c>
      <c r="M196" s="772" t="str">
        <f>IF(C196="","",VLOOKUP(C196,Table_ingredients[],10,FALSE))</f>
        <v/>
      </c>
      <c r="N196" s="767" t="str">
        <f>IF(C196="","",VLOOKUP(C196,Table_ingredients[],12,FALSE))</f>
        <v/>
      </c>
      <c r="O196" s="472" t="str">
        <f t="shared" si="45"/>
        <v>No</v>
      </c>
      <c r="P196" s="471">
        <f t="shared" si="42"/>
        <v>0</v>
      </c>
      <c r="Q196" s="475" t="str">
        <f>IF(C196="","",VLOOKUP(C196,Table_ingredients[],13,FALSE))</f>
        <v/>
      </c>
      <c r="R196" s="471">
        <f t="shared" si="43"/>
        <v>0</v>
      </c>
      <c r="S196" s="104"/>
      <c r="T196" s="120">
        <f t="shared" si="44"/>
        <v>0</v>
      </c>
      <c r="V196" s="59" t="s">
        <v>609</v>
      </c>
      <c r="W196" s="46">
        <v>0.54</v>
      </c>
      <c r="X196" s="46">
        <v>6.2E-2</v>
      </c>
      <c r="Y196" s="46">
        <v>9.7999999999999976E-2</v>
      </c>
      <c r="Z196" s="46">
        <v>5.0000000000000001E-3</v>
      </c>
      <c r="AA196" s="46">
        <v>0.3</v>
      </c>
      <c r="AB196" s="46">
        <v>5.6600000000000004E-2</v>
      </c>
      <c r="AC196" s="46">
        <v>8.2000000000000031E-2</v>
      </c>
      <c r="AD196" s="46">
        <v>8.6400000000000005E-2</v>
      </c>
      <c r="AE196" s="46">
        <v>0.91799999999999993</v>
      </c>
      <c r="AF196" s="59" t="s">
        <v>1576</v>
      </c>
      <c r="AG196" s="59"/>
      <c r="AH196" s="59" t="s">
        <v>1635</v>
      </c>
    </row>
    <row r="197" spans="2:34" x14ac:dyDescent="0.25">
      <c r="B197" s="13" t="s">
        <v>1060</v>
      </c>
      <c r="C197" s="764"/>
      <c r="D197" s="774"/>
      <c r="E197" s="761" t="str">
        <f>IF(C197="","",VLOOKUP(C197,Table_ingredients[],2,FALSE))</f>
        <v/>
      </c>
      <c r="F197" s="761" t="str">
        <f>IF(C197="","",VLOOKUP(C197,Table_ingredients[],3,FALSE))</f>
        <v/>
      </c>
      <c r="G197" s="761" t="str">
        <f>IF(C197="","",VLOOKUP(C197,Table_ingredients[],4,FALSE))</f>
        <v/>
      </c>
      <c r="H197" s="761" t="str">
        <f>IF(C197="","",VLOOKUP(C197,Table_ingredients[],5,FALSE))</f>
        <v/>
      </c>
      <c r="I197" s="761" t="str">
        <f>IF(C197="","",VLOOKUP(C197,Table_ingredients[],6,FALSE))</f>
        <v/>
      </c>
      <c r="J197" s="761" t="str">
        <f>IF(C197="","",VLOOKUP(C197,Table_ingredients[],7,FALSE))</f>
        <v/>
      </c>
      <c r="K197" s="761" t="str">
        <f>IF(C197="","",VLOOKUP(C197,Table_ingredients[],8,FALSE))</f>
        <v/>
      </c>
      <c r="L197" s="474" t="str">
        <f>IF(C197="","",VLOOKUP(C197,Table_ingredients[],9,FALSE))</f>
        <v/>
      </c>
      <c r="M197" s="772" t="str">
        <f>IF(C197="","",VLOOKUP(C197,Table_ingredients[],10,FALSE))</f>
        <v/>
      </c>
      <c r="N197" s="767" t="str">
        <f>IF(C197="","",VLOOKUP(C197,Table_ingredients[],12,FALSE))</f>
        <v/>
      </c>
      <c r="O197" s="472" t="str">
        <f t="shared" si="45"/>
        <v>No</v>
      </c>
      <c r="P197" s="471">
        <f t="shared" si="42"/>
        <v>0</v>
      </c>
      <c r="Q197" s="475" t="str">
        <f>IF(C197="","",VLOOKUP(C197,Table_ingredients[],13,FALSE))</f>
        <v/>
      </c>
      <c r="R197" s="471">
        <f t="shared" si="43"/>
        <v>0</v>
      </c>
      <c r="S197" s="104"/>
      <c r="T197" s="120">
        <f t="shared" si="44"/>
        <v>0</v>
      </c>
      <c r="V197" s="59" t="s">
        <v>610</v>
      </c>
      <c r="W197" s="46">
        <v>0.55000000000000004</v>
      </c>
      <c r="X197" s="46">
        <v>6.3E-2</v>
      </c>
      <c r="Y197" s="46">
        <v>8.7000000000000022E-2</v>
      </c>
      <c r="Z197" s="46">
        <v>5.0000000000000001E-3</v>
      </c>
      <c r="AA197" s="46">
        <v>0.3</v>
      </c>
      <c r="AB197" s="46">
        <v>5.6600000000000004E-2</v>
      </c>
      <c r="AC197" s="46">
        <v>8.2000000000000031E-2</v>
      </c>
      <c r="AD197" s="46">
        <v>8.8000000000000009E-2</v>
      </c>
      <c r="AE197" s="46">
        <v>0.91799999999999993</v>
      </c>
      <c r="AF197" s="59" t="s">
        <v>1576</v>
      </c>
      <c r="AG197" s="59"/>
      <c r="AH197" s="59" t="s">
        <v>1635</v>
      </c>
    </row>
    <row r="198" spans="2:34" x14ac:dyDescent="0.25">
      <c r="B198" s="13" t="s">
        <v>1061</v>
      </c>
      <c r="C198" s="764"/>
      <c r="D198" s="774"/>
      <c r="E198" s="761" t="str">
        <f>IF(C198="","",VLOOKUP(C198,Table_ingredients[],2,FALSE))</f>
        <v/>
      </c>
      <c r="F198" s="761" t="str">
        <f>IF(C198="","",VLOOKUP(C198,Table_ingredients[],3,FALSE))</f>
        <v/>
      </c>
      <c r="G198" s="761" t="str">
        <f>IF(C198="","",VLOOKUP(C198,Table_ingredients[],4,FALSE))</f>
        <v/>
      </c>
      <c r="H198" s="761" t="str">
        <f>IF(C198="","",VLOOKUP(C198,Table_ingredients[],5,FALSE))</f>
        <v/>
      </c>
      <c r="I198" s="761" t="str">
        <f>IF(C198="","",VLOOKUP(C198,Table_ingredients[],6,FALSE))</f>
        <v/>
      </c>
      <c r="J198" s="761" t="str">
        <f>IF(C198="","",VLOOKUP(C198,Table_ingredients[],7,FALSE))</f>
        <v/>
      </c>
      <c r="K198" s="761" t="str">
        <f>IF(C198="","",VLOOKUP(C198,Table_ingredients[],8,FALSE))</f>
        <v/>
      </c>
      <c r="L198" s="474" t="str">
        <f>IF(C198="","",VLOOKUP(C198,Table_ingredients[],9,FALSE))</f>
        <v/>
      </c>
      <c r="M198" s="772" t="str">
        <f>IF(C198="","",VLOOKUP(C198,Table_ingredients[],10,FALSE))</f>
        <v/>
      </c>
      <c r="N198" s="767" t="str">
        <f>IF(C198="","",VLOOKUP(C198,Table_ingredients[],12,FALSE))</f>
        <v/>
      </c>
      <c r="O198" s="472" t="str">
        <f t="shared" si="45"/>
        <v>No</v>
      </c>
      <c r="P198" s="471">
        <f t="shared" si="42"/>
        <v>0</v>
      </c>
      <c r="Q198" s="475" t="str">
        <f>IF(C198="","",VLOOKUP(C198,Table_ingredients[],13,FALSE))</f>
        <v/>
      </c>
      <c r="R198" s="471">
        <f t="shared" si="43"/>
        <v>0</v>
      </c>
      <c r="S198" s="104"/>
      <c r="T198" s="120">
        <f t="shared" si="44"/>
        <v>0</v>
      </c>
      <c r="V198" s="59" t="s">
        <v>611</v>
      </c>
      <c r="W198" s="46">
        <v>0.56000000000000005</v>
      </c>
      <c r="X198" s="46">
        <v>6.4000000000000001E-2</v>
      </c>
      <c r="Y198" s="46">
        <v>0.09</v>
      </c>
      <c r="Z198" s="46">
        <v>5.0000000000000001E-3</v>
      </c>
      <c r="AA198" s="46">
        <v>0.28600000000000003</v>
      </c>
      <c r="AB198" s="46">
        <v>5.6600000000000004E-2</v>
      </c>
      <c r="AC198" s="46">
        <v>8.2000000000000031E-2</v>
      </c>
      <c r="AD198" s="46">
        <v>8.9600000000000013E-2</v>
      </c>
      <c r="AE198" s="46">
        <v>0.91799999999999993</v>
      </c>
      <c r="AF198" s="59" t="s">
        <v>1576</v>
      </c>
      <c r="AG198" s="59"/>
      <c r="AH198" s="59" t="s">
        <v>1635</v>
      </c>
    </row>
    <row r="199" spans="2:34" ht="15.75" thickBot="1" x14ac:dyDescent="0.3">
      <c r="B199" s="16" t="s">
        <v>1062</v>
      </c>
      <c r="C199" s="765"/>
      <c r="D199" s="775"/>
      <c r="E199" s="776" t="str">
        <f>IF(C199="","",VLOOKUP(C199,Table_ingredients[],2,FALSE))</f>
        <v/>
      </c>
      <c r="F199" s="776" t="str">
        <f>IF(C199="","",VLOOKUP(C199,Table_ingredients[],3,FALSE))</f>
        <v/>
      </c>
      <c r="G199" s="776" t="str">
        <f>IF(C199="","",VLOOKUP(C199,Table_ingredients[],4,FALSE))</f>
        <v/>
      </c>
      <c r="H199" s="776" t="str">
        <f>IF(C199="","",VLOOKUP(C199,Table_ingredients[],5,FALSE))</f>
        <v/>
      </c>
      <c r="I199" s="776" t="str">
        <f>IF(C199="","",VLOOKUP(C199,Table_ingredients[],6,FALSE))</f>
        <v/>
      </c>
      <c r="J199" s="776" t="str">
        <f>IF(C199="","",VLOOKUP(C199,Table_ingredients[],7,FALSE))</f>
        <v/>
      </c>
      <c r="K199" s="776" t="str">
        <f>IF(C199="","",VLOOKUP(C199,Table_ingredients[],8,FALSE))</f>
        <v/>
      </c>
      <c r="L199" s="777" t="str">
        <f>IF(C199="","",VLOOKUP(C199,Table_ingredients[],9,FALSE))</f>
        <v/>
      </c>
      <c r="M199" s="778" t="str">
        <f>IF(C199="","",VLOOKUP(C199,Table_ingredients[],10,FALSE))</f>
        <v/>
      </c>
      <c r="N199" s="767" t="str">
        <f>IF(C199="","",VLOOKUP(C199,Table_ingredients[],12,FALSE))</f>
        <v/>
      </c>
      <c r="O199" s="479" t="str">
        <f t="shared" si="45"/>
        <v>No</v>
      </c>
      <c r="P199" s="478">
        <f t="shared" si="42"/>
        <v>0</v>
      </c>
      <c r="Q199" s="475" t="str">
        <f>IF(C199="","",VLOOKUP(C199,Table_ingredients[],13,FALSE))</f>
        <v/>
      </c>
      <c r="R199" s="478">
        <f t="shared" si="43"/>
        <v>0</v>
      </c>
      <c r="S199" s="477"/>
      <c r="T199" s="120">
        <f t="shared" si="44"/>
        <v>0</v>
      </c>
      <c r="V199" s="59" t="s">
        <v>612</v>
      </c>
      <c r="W199" s="46">
        <v>0.56999999999999995</v>
      </c>
      <c r="X199" s="46">
        <v>6.5000000000000002E-2</v>
      </c>
      <c r="Y199" s="46">
        <v>0.09</v>
      </c>
      <c r="Z199" s="46">
        <v>5.0000000000000001E-3</v>
      </c>
      <c r="AA199" s="46">
        <v>0.27500000000000002</v>
      </c>
      <c r="AB199" s="46">
        <v>5.6600000000000004E-2</v>
      </c>
      <c r="AC199" s="46">
        <v>8.2000000000000031E-2</v>
      </c>
      <c r="AD199" s="46">
        <v>9.1199999999999989E-2</v>
      </c>
      <c r="AE199" s="46">
        <v>0.91799999999999993</v>
      </c>
      <c r="AF199" s="59" t="s">
        <v>1576</v>
      </c>
      <c r="AG199" s="59"/>
      <c r="AH199" s="59" t="s">
        <v>1635</v>
      </c>
    </row>
    <row r="200" spans="2:34" ht="15.75" thickBot="1" x14ac:dyDescent="0.3">
      <c r="B200" s="26"/>
      <c r="C200" s="483" t="s">
        <v>1123</v>
      </c>
      <c r="D200" s="484">
        <f>SUM(D184:D199)</f>
        <v>0</v>
      </c>
      <c r="E200" s="759">
        <f>SUMPRODUCT($D$16:$D$31,E184:E199)</f>
        <v>0</v>
      </c>
      <c r="F200" s="759">
        <f t="shared" ref="F200:M200" si="46">SUMPRODUCT($D$16:$D$31,F184:F199)</f>
        <v>0</v>
      </c>
      <c r="G200" s="759">
        <f t="shared" si="46"/>
        <v>0</v>
      </c>
      <c r="H200" s="759">
        <f t="shared" si="46"/>
        <v>0</v>
      </c>
      <c r="I200" s="759">
        <f t="shared" si="46"/>
        <v>0</v>
      </c>
      <c r="J200" s="759">
        <f t="shared" si="46"/>
        <v>0</v>
      </c>
      <c r="K200" s="759">
        <f t="shared" si="46"/>
        <v>0</v>
      </c>
      <c r="L200" s="759">
        <f t="shared" si="46"/>
        <v>0</v>
      </c>
      <c r="M200" s="759">
        <f t="shared" si="46"/>
        <v>0</v>
      </c>
      <c r="N200" s="779"/>
      <c r="O200" s="780"/>
      <c r="P200" s="484">
        <f>SUM(P184:P199)</f>
        <v>0</v>
      </c>
      <c r="Q200" s="91"/>
      <c r="R200" s="485">
        <f>SUM(R184:R199)</f>
        <v>0</v>
      </c>
      <c r="S200" s="91"/>
      <c r="T200" s="486">
        <f>SUM(T184:T199)</f>
        <v>0</v>
      </c>
      <c r="V200" s="59" t="s">
        <v>613</v>
      </c>
      <c r="W200" s="46">
        <v>0.57999999999999996</v>
      </c>
      <c r="X200" s="46">
        <v>6.6000000000000003E-2</v>
      </c>
      <c r="Y200" s="46">
        <v>0.09</v>
      </c>
      <c r="Z200" s="46">
        <v>5.0000000000000001E-3</v>
      </c>
      <c r="AA200" s="46">
        <v>0.26400000000000001</v>
      </c>
      <c r="AB200" s="46">
        <v>5.6600000000000004E-2</v>
      </c>
      <c r="AC200" s="46">
        <v>8.2000000000000031E-2</v>
      </c>
      <c r="AD200" s="46">
        <v>9.2799999999999994E-2</v>
      </c>
      <c r="AE200" s="46">
        <v>0.91799999999999993</v>
      </c>
      <c r="AF200" s="59" t="s">
        <v>1576</v>
      </c>
      <c r="AG200" s="59"/>
      <c r="AH200" s="59" t="s">
        <v>1635</v>
      </c>
    </row>
    <row r="201" spans="2:34" ht="15.75" thickBot="1" x14ac:dyDescent="0.3">
      <c r="B201" s="480"/>
      <c r="C201" s="481"/>
      <c r="D201" s="482" t="str">
        <f>IF(D200=100%,"OK","Not 100%")</f>
        <v>Not 100%</v>
      </c>
      <c r="E201" s="760"/>
      <c r="F201" s="760"/>
      <c r="G201" s="760"/>
      <c r="H201" s="760"/>
      <c r="I201" s="760"/>
      <c r="J201" s="760"/>
      <c r="K201" s="760"/>
      <c r="L201" s="846"/>
      <c r="M201" s="847"/>
      <c r="N201" s="847"/>
      <c r="O201" s="847"/>
      <c r="P201" s="847"/>
      <c r="Q201" s="847"/>
      <c r="R201" s="847"/>
      <c r="S201" s="847"/>
      <c r="T201" s="848"/>
      <c r="V201" s="59" t="s">
        <v>614</v>
      </c>
      <c r="W201" s="46">
        <v>0.59</v>
      </c>
      <c r="X201" s="46">
        <v>6.8000000000000005E-2</v>
      </c>
      <c r="Y201" s="46">
        <v>8.9000000000000024E-2</v>
      </c>
      <c r="Z201" s="46">
        <v>5.0000000000000001E-3</v>
      </c>
      <c r="AA201" s="46">
        <v>0.253</v>
      </c>
      <c r="AB201" s="46">
        <v>5.6600000000000004E-2</v>
      </c>
      <c r="AC201" s="46">
        <v>8.2000000000000031E-2</v>
      </c>
      <c r="AD201" s="46">
        <v>9.4399999999999998E-2</v>
      </c>
      <c r="AE201" s="46">
        <v>0.91799999999999993</v>
      </c>
      <c r="AF201" s="59" t="s">
        <v>1576</v>
      </c>
      <c r="AG201" s="59"/>
      <c r="AH201" s="59" t="s">
        <v>1635</v>
      </c>
    </row>
    <row r="202" spans="2:34" ht="15.75" thickBot="1" x14ac:dyDescent="0.3">
      <c r="V202" s="59" t="s">
        <v>615</v>
      </c>
      <c r="W202" s="46">
        <v>0.6</v>
      </c>
      <c r="X202" s="46">
        <v>6.9000000000000006E-2</v>
      </c>
      <c r="Y202" s="46">
        <v>0.09</v>
      </c>
      <c r="Z202" s="46">
        <v>5.0000000000000001E-3</v>
      </c>
      <c r="AA202" s="46">
        <v>0.24100000000000002</v>
      </c>
      <c r="AB202" s="46">
        <v>5.6600000000000004E-2</v>
      </c>
      <c r="AC202" s="46">
        <v>8.2000000000000031E-2</v>
      </c>
      <c r="AD202" s="46">
        <v>9.6000000000000002E-2</v>
      </c>
      <c r="AE202" s="46">
        <v>0.91799999999999993</v>
      </c>
      <c r="AF202" s="59" t="s">
        <v>1576</v>
      </c>
      <c r="AG202" s="59"/>
      <c r="AH202" s="59" t="s">
        <v>1635</v>
      </c>
    </row>
    <row r="203" spans="2:34" ht="21.75" thickBot="1" x14ac:dyDescent="0.4">
      <c r="B203" s="860" t="s">
        <v>1476</v>
      </c>
      <c r="C203" s="861"/>
      <c r="D203" s="861"/>
      <c r="E203" s="861"/>
      <c r="F203" s="862"/>
      <c r="G203" s="862"/>
      <c r="H203" s="861"/>
      <c r="I203" s="861"/>
      <c r="J203" s="861"/>
      <c r="K203" s="861"/>
      <c r="L203" s="861"/>
      <c r="M203" s="861"/>
      <c r="N203" s="861"/>
      <c r="O203" s="861"/>
      <c r="P203" s="861"/>
      <c r="Q203" s="861"/>
      <c r="R203" s="861"/>
      <c r="S203" s="861"/>
      <c r="T203" s="863"/>
      <c r="V203" s="59" t="s">
        <v>616</v>
      </c>
      <c r="W203" s="46">
        <v>0.61</v>
      </c>
      <c r="X203" s="46">
        <v>7.0000000000000007E-2</v>
      </c>
      <c r="Y203" s="46">
        <v>8.6999999999999994E-2</v>
      </c>
      <c r="Z203" s="46">
        <v>5.0000000000000001E-3</v>
      </c>
      <c r="AA203" s="46">
        <v>0.23300000000000001</v>
      </c>
      <c r="AB203" s="46">
        <v>5.6600000000000004E-2</v>
      </c>
      <c r="AC203" s="46">
        <v>8.2000000000000031E-2</v>
      </c>
      <c r="AD203" s="46">
        <v>9.7599999999999992E-2</v>
      </c>
      <c r="AE203" s="46">
        <v>0.91799999999999993</v>
      </c>
      <c r="AF203" s="59" t="s">
        <v>1576</v>
      </c>
      <c r="AG203" s="59"/>
      <c r="AH203" s="59" t="s">
        <v>1635</v>
      </c>
    </row>
    <row r="204" spans="2:34" ht="15" customHeight="1" x14ac:dyDescent="0.25">
      <c r="B204" s="849" t="s">
        <v>1463</v>
      </c>
      <c r="C204" s="870"/>
      <c r="D204" s="873" t="s">
        <v>1193</v>
      </c>
      <c r="E204" s="875"/>
      <c r="F204" s="864" t="s">
        <v>1192</v>
      </c>
      <c r="G204" s="867"/>
      <c r="H204" s="877" t="s">
        <v>1188</v>
      </c>
      <c r="I204" s="491" t="s">
        <v>1464</v>
      </c>
      <c r="J204" s="495"/>
      <c r="K204" s="849" t="s">
        <v>1467</v>
      </c>
      <c r="L204" s="856" t="s">
        <v>1464</v>
      </c>
      <c r="M204" s="852"/>
      <c r="N204" s="853"/>
      <c r="O204" s="880"/>
      <c r="P204" s="881"/>
      <c r="Q204" s="881"/>
      <c r="R204" s="881"/>
      <c r="S204" s="881"/>
      <c r="T204" s="882"/>
      <c r="V204" s="59" t="s">
        <v>617</v>
      </c>
      <c r="W204" s="46">
        <v>0.62</v>
      </c>
      <c r="X204" s="46">
        <v>7.0999999999999994E-2</v>
      </c>
      <c r="Y204" s="46">
        <v>8.8999999999999982E-2</v>
      </c>
      <c r="Z204" s="46">
        <v>5.0000000000000001E-3</v>
      </c>
      <c r="AA204" s="46">
        <v>0.22</v>
      </c>
      <c r="AB204" s="46">
        <v>5.6600000000000004E-2</v>
      </c>
      <c r="AC204" s="46">
        <v>8.2000000000000031E-2</v>
      </c>
      <c r="AD204" s="46">
        <v>9.9199999999999997E-2</v>
      </c>
      <c r="AE204" s="46">
        <v>0.91799999999999993</v>
      </c>
      <c r="AF204" s="59" t="s">
        <v>1576</v>
      </c>
      <c r="AG204" s="59"/>
      <c r="AH204" s="59" t="s">
        <v>1635</v>
      </c>
    </row>
    <row r="205" spans="2:34" x14ac:dyDescent="0.25">
      <c r="B205" s="850"/>
      <c r="C205" s="871"/>
      <c r="D205" s="874"/>
      <c r="E205" s="876"/>
      <c r="F205" s="865"/>
      <c r="G205" s="868"/>
      <c r="H205" s="878"/>
      <c r="I205" s="489" t="s">
        <v>1465</v>
      </c>
      <c r="J205" s="496"/>
      <c r="K205" s="850"/>
      <c r="L205" s="857"/>
      <c r="M205" s="854"/>
      <c r="N205" s="855"/>
      <c r="O205" s="883"/>
      <c r="P205" s="884"/>
      <c r="Q205" s="884"/>
      <c r="R205" s="884"/>
      <c r="S205" s="884"/>
      <c r="T205" s="885"/>
      <c r="V205" s="59" t="s">
        <v>618</v>
      </c>
      <c r="W205" s="46">
        <v>0.63</v>
      </c>
      <c r="X205" s="46">
        <v>7.2000000000000008E-2</v>
      </c>
      <c r="Y205" s="46">
        <v>9.1000000000000011E-2</v>
      </c>
      <c r="Z205" s="46">
        <v>5.0000000000000001E-3</v>
      </c>
      <c r="AA205" s="46">
        <v>0.20699999999999999</v>
      </c>
      <c r="AB205" s="46">
        <v>5.6600000000000004E-2</v>
      </c>
      <c r="AC205" s="46">
        <v>8.2000000000000031E-2</v>
      </c>
      <c r="AD205" s="46">
        <v>0.1008</v>
      </c>
      <c r="AE205" s="46">
        <v>0.91799999999999993</v>
      </c>
      <c r="AF205" s="59" t="s">
        <v>1576</v>
      </c>
      <c r="AG205" s="59"/>
      <c r="AH205" s="59" t="s">
        <v>1635</v>
      </c>
    </row>
    <row r="206" spans="2:34" ht="15.75" thickBot="1" x14ac:dyDescent="0.3">
      <c r="B206" s="851"/>
      <c r="C206" s="872"/>
      <c r="D206" s="874"/>
      <c r="E206" s="876"/>
      <c r="F206" s="866"/>
      <c r="G206" s="869"/>
      <c r="H206" s="879"/>
      <c r="I206" s="490" t="s">
        <v>1466</v>
      </c>
      <c r="J206" s="497"/>
      <c r="K206" s="851"/>
      <c r="L206" s="490" t="s">
        <v>1468</v>
      </c>
      <c r="M206" s="858"/>
      <c r="N206" s="859"/>
      <c r="O206" s="886"/>
      <c r="P206" s="887"/>
      <c r="Q206" s="887"/>
      <c r="R206" s="887"/>
      <c r="S206" s="887"/>
      <c r="T206" s="888"/>
      <c r="V206" s="59" t="s">
        <v>619</v>
      </c>
      <c r="W206" s="46">
        <v>0.64</v>
      </c>
      <c r="X206" s="46">
        <v>7.2999999999999995E-2</v>
      </c>
      <c r="Y206" s="46">
        <v>9.0999999999999984E-2</v>
      </c>
      <c r="Z206" s="46">
        <v>5.0000000000000001E-3</v>
      </c>
      <c r="AA206" s="46">
        <v>0.19600000000000001</v>
      </c>
      <c r="AB206" s="46">
        <v>5.6600000000000004E-2</v>
      </c>
      <c r="AC206" s="46">
        <v>8.2000000000000031E-2</v>
      </c>
      <c r="AD206" s="46">
        <v>0.1024</v>
      </c>
      <c r="AE206" s="46">
        <v>0.91799999999999993</v>
      </c>
      <c r="AF206" s="59" t="s">
        <v>1576</v>
      </c>
      <c r="AG206" s="59"/>
      <c r="AH206" s="59" t="s">
        <v>1635</v>
      </c>
    </row>
    <row r="207" spans="2:34" ht="45.75" thickBot="1" x14ac:dyDescent="0.3">
      <c r="B207" s="488"/>
      <c r="C207" s="762" t="s">
        <v>511</v>
      </c>
      <c r="D207" s="768" t="s">
        <v>512</v>
      </c>
      <c r="E207" s="769" t="s">
        <v>1479</v>
      </c>
      <c r="F207" s="492" t="s">
        <v>1571</v>
      </c>
      <c r="G207" s="492" t="s">
        <v>1636</v>
      </c>
      <c r="H207" s="769" t="s">
        <v>1573</v>
      </c>
      <c r="I207" s="769" t="s">
        <v>1574</v>
      </c>
      <c r="J207" s="769" t="s">
        <v>1090</v>
      </c>
      <c r="K207" s="769" t="s">
        <v>1575</v>
      </c>
      <c r="L207" s="769" t="s">
        <v>1041</v>
      </c>
      <c r="M207" s="770" t="s">
        <v>1046</v>
      </c>
      <c r="N207" s="766" t="s">
        <v>1063</v>
      </c>
      <c r="O207" s="492" t="s">
        <v>1067</v>
      </c>
      <c r="P207" s="492" t="s">
        <v>1066</v>
      </c>
      <c r="Q207" s="492" t="s">
        <v>519</v>
      </c>
      <c r="R207" s="492"/>
      <c r="S207" s="493" t="s">
        <v>1189</v>
      </c>
      <c r="T207" s="494" t="s">
        <v>1190</v>
      </c>
      <c r="V207" s="59" t="s">
        <v>620</v>
      </c>
      <c r="W207" s="46">
        <v>0.65</v>
      </c>
      <c r="X207" s="46">
        <v>7.400000000000001E-2</v>
      </c>
      <c r="Y207" s="46">
        <v>9.1000000000000011E-2</v>
      </c>
      <c r="Z207" s="46">
        <v>5.0000000000000001E-3</v>
      </c>
      <c r="AA207" s="46">
        <v>0.185</v>
      </c>
      <c r="AB207" s="46">
        <v>5.6600000000000004E-2</v>
      </c>
      <c r="AC207" s="46">
        <v>8.2000000000000031E-2</v>
      </c>
      <c r="AD207" s="46">
        <v>0.10400000000000001</v>
      </c>
      <c r="AE207" s="46">
        <v>0.91799999999999993</v>
      </c>
      <c r="AF207" s="59" t="s">
        <v>1576</v>
      </c>
      <c r="AG207" s="59"/>
      <c r="AH207" s="59" t="s">
        <v>1635</v>
      </c>
    </row>
    <row r="208" spans="2:34" x14ac:dyDescent="0.25">
      <c r="B208" s="21" t="s">
        <v>513</v>
      </c>
      <c r="C208" s="763"/>
      <c r="D208" s="771"/>
      <c r="E208" s="761" t="str">
        <f>IF(C208="","",VLOOKUP(C208,Table_ingredients[],2,FALSE))</f>
        <v/>
      </c>
      <c r="F208" s="761" t="str">
        <f>IF(C208="","",VLOOKUP(C208,Table_ingredients[],3,FALSE))</f>
        <v/>
      </c>
      <c r="G208" s="761" t="str">
        <f>IF(C208="","",VLOOKUP(C208,Table_ingredients[],4,FALSE))</f>
        <v/>
      </c>
      <c r="H208" s="761" t="str">
        <f>IF(C208="","",VLOOKUP(C208,Table_ingredients[],5,FALSE))</f>
        <v/>
      </c>
      <c r="I208" s="761" t="str">
        <f>IF(C208="","",VLOOKUP(C208,Table_ingredients[],6,FALSE))</f>
        <v/>
      </c>
      <c r="J208" s="761" t="str">
        <f>IF(C208="","",VLOOKUP(C208,Table_ingredients[],7,FALSE))</f>
        <v/>
      </c>
      <c r="K208" s="761" t="str">
        <f>IF(C208="","",VLOOKUP(C208,Table_ingredients[],8,FALSE))</f>
        <v/>
      </c>
      <c r="L208" s="474" t="str">
        <f>IF(C208="","",VLOOKUP(C208,Table_ingredients[],9,FALSE))</f>
        <v/>
      </c>
      <c r="M208" s="772" t="str">
        <f>IF(C208="","",VLOOKUP(C208,Table_ingredients[],10,FALSE))</f>
        <v/>
      </c>
      <c r="N208" s="767" t="str">
        <f>IF(C208="","",VLOOKUP(C208,Table_ingredients[],12,FALSE))</f>
        <v/>
      </c>
      <c r="O208" s="476" t="str">
        <f>IF(N208=$C$3,"Yes","No")</f>
        <v>No</v>
      </c>
      <c r="P208" s="474">
        <f t="shared" ref="P208:P223" si="47">IF(O208="Yes",D208,0)</f>
        <v>0</v>
      </c>
      <c r="Q208" s="475" t="str">
        <f>IF(C208="","",VLOOKUP(C208,Table_ingredients[],13,FALSE))</f>
        <v/>
      </c>
      <c r="R208" s="474">
        <f t="shared" ref="R208:R223" si="48">IF(Q208="Yes",D208,0)</f>
        <v>0</v>
      </c>
      <c r="S208" s="109"/>
      <c r="T208" s="120">
        <f t="shared" ref="T208:T223" si="49">S208*D208*$C$12</f>
        <v>0</v>
      </c>
      <c r="V208" s="59" t="s">
        <v>621</v>
      </c>
      <c r="W208" s="46">
        <v>0.66</v>
      </c>
      <c r="X208" s="46">
        <v>7.5999999999999998E-2</v>
      </c>
      <c r="Y208" s="46">
        <v>9.1999999999999998E-2</v>
      </c>
      <c r="Z208" s="46">
        <v>5.0000000000000001E-3</v>
      </c>
      <c r="AA208" s="46">
        <v>0.17199999999999999</v>
      </c>
      <c r="AB208" s="46">
        <v>5.6600000000000004E-2</v>
      </c>
      <c r="AC208" s="46">
        <v>8.2000000000000031E-2</v>
      </c>
      <c r="AD208" s="46">
        <v>0.1056</v>
      </c>
      <c r="AE208" s="46">
        <v>0.91799999999999993</v>
      </c>
      <c r="AF208" s="59" t="s">
        <v>1576</v>
      </c>
      <c r="AG208" s="59"/>
      <c r="AH208" s="59" t="s">
        <v>1635</v>
      </c>
    </row>
    <row r="209" spans="2:34" x14ac:dyDescent="0.25">
      <c r="B209" s="13" t="s">
        <v>514</v>
      </c>
      <c r="C209" s="764"/>
      <c r="D209" s="773"/>
      <c r="E209" s="761" t="str">
        <f>IF(C209="","",VLOOKUP(C209,Table_ingredients[],2,FALSE))</f>
        <v/>
      </c>
      <c r="F209" s="761" t="str">
        <f>IF(C209="","",VLOOKUP(C209,Table_ingredients[],3,FALSE))</f>
        <v/>
      </c>
      <c r="G209" s="761" t="str">
        <f>IF(C209="","",VLOOKUP(C209,Table_ingredients[],4,FALSE))</f>
        <v/>
      </c>
      <c r="H209" s="761" t="str">
        <f>IF(C209="","",VLOOKUP(C209,Table_ingredients[],5,FALSE))</f>
        <v/>
      </c>
      <c r="I209" s="761" t="str">
        <f>IF(C209="","",VLOOKUP(C209,Table_ingredients[],6,FALSE))</f>
        <v/>
      </c>
      <c r="J209" s="761" t="str">
        <f>IF(C209="","",VLOOKUP(C209,Table_ingredients[],7,FALSE))</f>
        <v/>
      </c>
      <c r="K209" s="761" t="str">
        <f>IF(C209="","",VLOOKUP(C209,Table_ingredients[],8,FALSE))</f>
        <v/>
      </c>
      <c r="L209" s="474" t="str">
        <f>IF(C209="","",VLOOKUP(C209,Table_ingredients[],9,FALSE))</f>
        <v/>
      </c>
      <c r="M209" s="772" t="str">
        <f>IF(C209="","",VLOOKUP(C209,Table_ingredients[],10,FALSE))</f>
        <v/>
      </c>
      <c r="N209" s="767" t="str">
        <f>IF(C209="","",VLOOKUP(C209,Table_ingredients[],12,FALSE))</f>
        <v/>
      </c>
      <c r="O209" s="472" t="str">
        <f t="shared" ref="O209:O223" si="50">IF(N209=$C$3,"Yes","No")</f>
        <v>No</v>
      </c>
      <c r="P209" s="471">
        <f t="shared" si="47"/>
        <v>0</v>
      </c>
      <c r="Q209" s="475" t="str">
        <f>IF(C209="","",VLOOKUP(C209,Table_ingredients[],13,FALSE))</f>
        <v/>
      </c>
      <c r="R209" s="471">
        <f t="shared" si="48"/>
        <v>0</v>
      </c>
      <c r="S209" s="104"/>
      <c r="T209" s="120">
        <f t="shared" si="49"/>
        <v>0</v>
      </c>
      <c r="V209" s="59" t="s">
        <v>622</v>
      </c>
      <c r="W209" s="46">
        <v>0.67</v>
      </c>
      <c r="X209" s="46">
        <v>7.6999999999999999E-2</v>
      </c>
      <c r="Y209" s="46">
        <v>8.9000000000000024E-2</v>
      </c>
      <c r="Z209" s="46">
        <v>5.0000000000000001E-3</v>
      </c>
      <c r="AA209" s="46">
        <v>0.16399999999999998</v>
      </c>
      <c r="AB209" s="46">
        <v>5.6600000000000004E-2</v>
      </c>
      <c r="AC209" s="46">
        <v>8.2000000000000031E-2</v>
      </c>
      <c r="AD209" s="46">
        <v>0.1072</v>
      </c>
      <c r="AE209" s="46">
        <v>0.91799999999999993</v>
      </c>
      <c r="AF209" s="59" t="s">
        <v>1576</v>
      </c>
      <c r="AG209" s="59"/>
      <c r="AH209" s="59" t="s">
        <v>1635</v>
      </c>
    </row>
    <row r="210" spans="2:34" x14ac:dyDescent="0.25">
      <c r="B210" s="13" t="s">
        <v>515</v>
      </c>
      <c r="C210" s="764"/>
      <c r="D210" s="773"/>
      <c r="E210" s="761" t="str">
        <f>IF(C210="","",VLOOKUP(C210,Table_ingredients[],2,FALSE))</f>
        <v/>
      </c>
      <c r="F210" s="761" t="str">
        <f>IF(C210="","",VLOOKUP(C210,Table_ingredients[],3,FALSE))</f>
        <v/>
      </c>
      <c r="G210" s="761" t="str">
        <f>IF(C210="","",VLOOKUP(C210,Table_ingredients[],4,FALSE))</f>
        <v/>
      </c>
      <c r="H210" s="761" t="str">
        <f>IF(C210="","",VLOOKUP(C210,Table_ingredients[],5,FALSE))</f>
        <v/>
      </c>
      <c r="I210" s="761" t="str">
        <f>IF(C210="","",VLOOKUP(C210,Table_ingredients[],6,FALSE))</f>
        <v/>
      </c>
      <c r="J210" s="761" t="str">
        <f>IF(C210="","",VLOOKUP(C210,Table_ingredients[],7,FALSE))</f>
        <v/>
      </c>
      <c r="K210" s="761" t="str">
        <f>IF(C210="","",VLOOKUP(C210,Table_ingredients[],8,FALSE))</f>
        <v/>
      </c>
      <c r="L210" s="474" t="str">
        <f>IF(C210="","",VLOOKUP(C210,Table_ingredients[],9,FALSE))</f>
        <v/>
      </c>
      <c r="M210" s="772" t="str">
        <f>IF(C210="","",VLOOKUP(C210,Table_ingredients[],10,FALSE))</f>
        <v/>
      </c>
      <c r="N210" s="767" t="str">
        <f>IF(C210="","",VLOOKUP(C210,Table_ingredients[],12,FALSE))</f>
        <v/>
      </c>
      <c r="O210" s="472" t="str">
        <f t="shared" si="50"/>
        <v>No</v>
      </c>
      <c r="P210" s="471">
        <f t="shared" si="47"/>
        <v>0</v>
      </c>
      <c r="Q210" s="475" t="str">
        <f>IF(C210="","",VLOOKUP(C210,Table_ingredients[],13,FALSE))</f>
        <v/>
      </c>
      <c r="R210" s="471">
        <f t="shared" si="48"/>
        <v>0</v>
      </c>
      <c r="S210" s="104"/>
      <c r="T210" s="120">
        <f t="shared" si="49"/>
        <v>0</v>
      </c>
      <c r="V210" s="59" t="s">
        <v>587</v>
      </c>
      <c r="W210" s="46">
        <v>0.55000000000000004</v>
      </c>
      <c r="X210" s="46">
        <v>0.06</v>
      </c>
      <c r="Y210" s="46">
        <v>0.09</v>
      </c>
      <c r="Z210" s="46">
        <v>5.0000000000000001E-3</v>
      </c>
      <c r="AA210" s="46">
        <v>0.3</v>
      </c>
      <c r="AB210" s="46">
        <v>5.6600000000000004E-2</v>
      </c>
      <c r="AC210" s="46">
        <v>8.2000000000000031E-2</v>
      </c>
      <c r="AD210" s="46">
        <v>8.8000000000000009E-2</v>
      </c>
      <c r="AE210" s="46">
        <v>0.91799999999999993</v>
      </c>
      <c r="AF210" s="59" t="s">
        <v>1576</v>
      </c>
      <c r="AG210" s="59"/>
      <c r="AH210" s="59" t="s">
        <v>1635</v>
      </c>
    </row>
    <row r="211" spans="2:34" x14ac:dyDescent="0.25">
      <c r="B211" s="13" t="s">
        <v>516</v>
      </c>
      <c r="C211" s="764"/>
      <c r="D211" s="773"/>
      <c r="E211" s="761" t="str">
        <f>IF(C211="","",VLOOKUP(C211,Table_ingredients[],2,FALSE))</f>
        <v/>
      </c>
      <c r="F211" s="761" t="str">
        <f>IF(C211="","",VLOOKUP(C211,Table_ingredients[],3,FALSE))</f>
        <v/>
      </c>
      <c r="G211" s="761" t="str">
        <f>IF(C211="","",VLOOKUP(C211,Table_ingredients[],4,FALSE))</f>
        <v/>
      </c>
      <c r="H211" s="761" t="str">
        <f>IF(C211="","",VLOOKUP(C211,Table_ingredients[],5,FALSE))</f>
        <v/>
      </c>
      <c r="I211" s="761" t="str">
        <f>IF(C211="","",VLOOKUP(C211,Table_ingredients[],6,FALSE))</f>
        <v/>
      </c>
      <c r="J211" s="761" t="str">
        <f>IF(C211="","",VLOOKUP(C211,Table_ingredients[],7,FALSE))</f>
        <v/>
      </c>
      <c r="K211" s="761" t="str">
        <f>IF(C211="","",VLOOKUP(C211,Table_ingredients[],8,FALSE))</f>
        <v/>
      </c>
      <c r="L211" s="474" t="str">
        <f>IF(C211="","",VLOOKUP(C211,Table_ingredients[],9,FALSE))</f>
        <v/>
      </c>
      <c r="M211" s="772" t="str">
        <f>IF(C211="","",VLOOKUP(C211,Table_ingredients[],10,FALSE))</f>
        <v/>
      </c>
      <c r="N211" s="767" t="str">
        <f>IF(C211="","",VLOOKUP(C211,Table_ingredients[],12,FALSE))</f>
        <v/>
      </c>
      <c r="O211" s="472" t="str">
        <f t="shared" si="50"/>
        <v>No</v>
      </c>
      <c r="P211" s="471">
        <f t="shared" si="47"/>
        <v>0</v>
      </c>
      <c r="Q211" s="475" t="str">
        <f>IF(C211="","",VLOOKUP(C211,Table_ingredients[],13,FALSE))</f>
        <v/>
      </c>
      <c r="R211" s="471">
        <f t="shared" si="48"/>
        <v>0</v>
      </c>
      <c r="S211" s="104"/>
      <c r="T211" s="120">
        <f t="shared" si="49"/>
        <v>0</v>
      </c>
      <c r="V211" s="59" t="s">
        <v>602</v>
      </c>
      <c r="W211" s="46">
        <v>0.58099999999999996</v>
      </c>
      <c r="X211" s="46">
        <v>9.1999999999999998E-2</v>
      </c>
      <c r="Y211" s="46">
        <v>0.10700000000000003</v>
      </c>
      <c r="Z211" s="46">
        <v>6.0000000000000001E-3</v>
      </c>
      <c r="AA211" s="46">
        <v>0.22</v>
      </c>
      <c r="AB211" s="46">
        <v>4.07E-2</v>
      </c>
      <c r="AC211" s="46">
        <v>7.4000000000000052E-2</v>
      </c>
      <c r="AD211" s="46">
        <v>9.2959999999999987E-2</v>
      </c>
      <c r="AE211" s="46">
        <v>0.92599999999999993</v>
      </c>
      <c r="AF211" s="59" t="s">
        <v>1576</v>
      </c>
      <c r="AG211" s="59"/>
      <c r="AH211" s="59" t="s">
        <v>1635</v>
      </c>
    </row>
    <row r="212" spans="2:34" x14ac:dyDescent="0.25">
      <c r="B212" s="13" t="s">
        <v>517</v>
      </c>
      <c r="C212" s="764"/>
      <c r="D212" s="773"/>
      <c r="E212" s="761" t="str">
        <f>IF(C212="","",VLOOKUP(C212,Table_ingredients[],2,FALSE))</f>
        <v/>
      </c>
      <c r="F212" s="761" t="str">
        <f>IF(C212="","",VLOOKUP(C212,Table_ingredients[],3,FALSE))</f>
        <v/>
      </c>
      <c r="G212" s="761" t="str">
        <f>IF(C212="","",VLOOKUP(C212,Table_ingredients[],4,FALSE))</f>
        <v/>
      </c>
      <c r="H212" s="761" t="str">
        <f>IF(C212="","",VLOOKUP(C212,Table_ingredients[],5,FALSE))</f>
        <v/>
      </c>
      <c r="I212" s="761" t="str">
        <f>IF(C212="","",VLOOKUP(C212,Table_ingredients[],6,FALSE))</f>
        <v/>
      </c>
      <c r="J212" s="761" t="str">
        <f>IF(C212="","",VLOOKUP(C212,Table_ingredients[],7,FALSE))</f>
        <v/>
      </c>
      <c r="K212" s="761" t="str">
        <f>IF(C212="","",VLOOKUP(C212,Table_ingredients[],8,FALSE))</f>
        <v/>
      </c>
      <c r="L212" s="474" t="str">
        <f>IF(C212="","",VLOOKUP(C212,Table_ingredients[],9,FALSE))</f>
        <v/>
      </c>
      <c r="M212" s="772" t="str">
        <f>IF(C212="","",VLOOKUP(C212,Table_ingredients[],10,FALSE))</f>
        <v/>
      </c>
      <c r="N212" s="767" t="str">
        <f>IF(C212="","",VLOOKUP(C212,Table_ingredients[],12,FALSE))</f>
        <v/>
      </c>
      <c r="O212" s="472" t="str">
        <f t="shared" si="50"/>
        <v>No</v>
      </c>
      <c r="P212" s="471">
        <f t="shared" si="47"/>
        <v>0</v>
      </c>
      <c r="Q212" s="475" t="str">
        <f>IF(C212="","",VLOOKUP(C212,Table_ingredients[],13,FALSE))</f>
        <v/>
      </c>
      <c r="R212" s="471">
        <f t="shared" si="48"/>
        <v>0</v>
      </c>
      <c r="S212" s="104"/>
      <c r="T212" s="120">
        <f t="shared" si="49"/>
        <v>0</v>
      </c>
      <c r="V212" s="59" t="s">
        <v>603</v>
      </c>
      <c r="W212" s="46">
        <v>0.65099999999999991</v>
      </c>
      <c r="X212" s="46">
        <v>6.3E-2</v>
      </c>
      <c r="Y212" s="46">
        <v>8.9000000000000051E-2</v>
      </c>
      <c r="Z212" s="46">
        <v>6.0000000000000001E-3</v>
      </c>
      <c r="AA212" s="46">
        <v>0.19699999999999998</v>
      </c>
      <c r="AB212" s="46">
        <v>3.4000000000000002E-2</v>
      </c>
      <c r="AC212" s="46">
        <v>8.2000000000000031E-2</v>
      </c>
      <c r="AD212" s="46">
        <v>0.10415999999999999</v>
      </c>
      <c r="AE212" s="46">
        <v>0.91799999999999993</v>
      </c>
      <c r="AF212" s="59" t="s">
        <v>1576</v>
      </c>
      <c r="AG212" s="59"/>
      <c r="AH212" s="59" t="s">
        <v>1635</v>
      </c>
    </row>
    <row r="213" spans="2:34" x14ac:dyDescent="0.25">
      <c r="B213" s="13" t="s">
        <v>518</v>
      </c>
      <c r="C213" s="764"/>
      <c r="D213" s="773"/>
      <c r="E213" s="761" t="str">
        <f>IF(C213="","",VLOOKUP(C213,Table_ingredients[],2,FALSE))</f>
        <v/>
      </c>
      <c r="F213" s="761" t="str">
        <f>IF(C213="","",VLOOKUP(C213,Table_ingredients[],3,FALSE))</f>
        <v/>
      </c>
      <c r="G213" s="761" t="str">
        <f>IF(C213="","",VLOOKUP(C213,Table_ingredients[],4,FALSE))</f>
        <v/>
      </c>
      <c r="H213" s="761" t="str">
        <f>IF(C213="","",VLOOKUP(C213,Table_ingredients[],5,FALSE))</f>
        <v/>
      </c>
      <c r="I213" s="761" t="str">
        <f>IF(C213="","",VLOOKUP(C213,Table_ingredients[],6,FALSE))</f>
        <v/>
      </c>
      <c r="J213" s="761" t="str">
        <f>IF(C213="","",VLOOKUP(C213,Table_ingredients[],7,FALSE))</f>
        <v/>
      </c>
      <c r="K213" s="761" t="str">
        <f>IF(C213="","",VLOOKUP(C213,Table_ingredients[],8,FALSE))</f>
        <v/>
      </c>
      <c r="L213" s="474" t="str">
        <f>IF(C213="","",VLOOKUP(C213,Table_ingredients[],9,FALSE))</f>
        <v/>
      </c>
      <c r="M213" s="772" t="str">
        <f>IF(C213="","",VLOOKUP(C213,Table_ingredients[],10,FALSE))</f>
        <v/>
      </c>
      <c r="N213" s="767" t="str">
        <f>IF(C213="","",VLOOKUP(C213,Table_ingredients[],12,FALSE))</f>
        <v/>
      </c>
      <c r="O213" s="472" t="str">
        <f t="shared" si="50"/>
        <v>No</v>
      </c>
      <c r="P213" s="471">
        <f t="shared" si="47"/>
        <v>0</v>
      </c>
      <c r="Q213" s="475" t="str">
        <f>IF(C213="","",VLOOKUP(C213,Table_ingredients[],13,FALSE))</f>
        <v/>
      </c>
      <c r="R213" s="471">
        <f t="shared" si="48"/>
        <v>0</v>
      </c>
      <c r="S213" s="104"/>
      <c r="T213" s="120">
        <f t="shared" si="49"/>
        <v>0</v>
      </c>
      <c r="V213" s="59" t="s">
        <v>1703</v>
      </c>
      <c r="W213" s="46">
        <v>0</v>
      </c>
      <c r="X213" s="46">
        <v>1</v>
      </c>
      <c r="Y213" s="46">
        <v>0</v>
      </c>
      <c r="Z213" s="46">
        <v>0</v>
      </c>
      <c r="AA213" s="46">
        <v>0</v>
      </c>
      <c r="AB213" s="46">
        <v>0</v>
      </c>
      <c r="AC213" s="46">
        <v>0</v>
      </c>
      <c r="AD213" s="46">
        <v>0</v>
      </c>
      <c r="AE213" s="46">
        <v>1</v>
      </c>
      <c r="AF213" s="59" t="s">
        <v>526</v>
      </c>
      <c r="AG213" s="59"/>
      <c r="AH213" s="59" t="s">
        <v>1635</v>
      </c>
    </row>
    <row r="214" spans="2:34" x14ac:dyDescent="0.25">
      <c r="B214" s="13" t="s">
        <v>520</v>
      </c>
      <c r="C214" s="764"/>
      <c r="D214" s="773"/>
      <c r="E214" s="761" t="str">
        <f>IF(C214="","",VLOOKUP(C214,Table_ingredients[],2,FALSE))</f>
        <v/>
      </c>
      <c r="F214" s="761" t="str">
        <f>IF(C214="","",VLOOKUP(C214,Table_ingredients[],3,FALSE))</f>
        <v/>
      </c>
      <c r="G214" s="761" t="str">
        <f>IF(C214="","",VLOOKUP(C214,Table_ingredients[],4,FALSE))</f>
        <v/>
      </c>
      <c r="H214" s="761" t="str">
        <f>IF(C214="","",VLOOKUP(C214,Table_ingredients[],5,FALSE))</f>
        <v/>
      </c>
      <c r="I214" s="761" t="str">
        <f>IF(C214="","",VLOOKUP(C214,Table_ingredients[],6,FALSE))</f>
        <v/>
      </c>
      <c r="J214" s="761" t="str">
        <f>IF(C214="","",VLOOKUP(C214,Table_ingredients[],7,FALSE))</f>
        <v/>
      </c>
      <c r="K214" s="761" t="str">
        <f>IF(C214="","",VLOOKUP(C214,Table_ingredients[],8,FALSE))</f>
        <v/>
      </c>
      <c r="L214" s="474" t="str">
        <f>IF(C214="","",VLOOKUP(C214,Table_ingredients[],9,FALSE))</f>
        <v/>
      </c>
      <c r="M214" s="772" t="str">
        <f>IF(C214="","",VLOOKUP(C214,Table_ingredients[],10,FALSE))</f>
        <v/>
      </c>
      <c r="N214" s="767" t="str">
        <f>IF(C214="","",VLOOKUP(C214,Table_ingredients[],12,FALSE))</f>
        <v/>
      </c>
      <c r="O214" s="472" t="str">
        <f t="shared" si="50"/>
        <v>No</v>
      </c>
      <c r="P214" s="471">
        <f t="shared" si="47"/>
        <v>0</v>
      </c>
      <c r="Q214" s="475" t="str">
        <f>IF(C214="","",VLOOKUP(C214,Table_ingredients[],13,FALSE))</f>
        <v/>
      </c>
      <c r="R214" s="471">
        <f t="shared" si="48"/>
        <v>0</v>
      </c>
      <c r="S214" s="104"/>
      <c r="T214" s="120">
        <f t="shared" si="49"/>
        <v>0</v>
      </c>
      <c r="V214" s="59" t="s">
        <v>1704</v>
      </c>
      <c r="W214" s="46">
        <v>0</v>
      </c>
      <c r="X214" s="46">
        <v>1</v>
      </c>
      <c r="Y214" s="46">
        <v>0</v>
      </c>
      <c r="Z214" s="46">
        <v>0</v>
      </c>
      <c r="AA214" s="46">
        <v>0</v>
      </c>
      <c r="AB214" s="46">
        <v>0</v>
      </c>
      <c r="AC214" s="46">
        <v>0</v>
      </c>
      <c r="AD214" s="46">
        <v>0</v>
      </c>
      <c r="AE214" s="46">
        <v>1</v>
      </c>
      <c r="AF214" s="59" t="s">
        <v>526</v>
      </c>
      <c r="AG214" s="59"/>
      <c r="AH214" s="59" t="s">
        <v>1635</v>
      </c>
    </row>
    <row r="215" spans="2:34" x14ac:dyDescent="0.25">
      <c r="B215" s="13" t="s">
        <v>521</v>
      </c>
      <c r="C215" s="764"/>
      <c r="D215" s="774"/>
      <c r="E215" s="761" t="str">
        <f>IF(C215="","",VLOOKUP(C215,Table_ingredients[],2,FALSE))</f>
        <v/>
      </c>
      <c r="F215" s="761" t="str">
        <f>IF(C215="","",VLOOKUP(C215,Table_ingredients[],3,FALSE))</f>
        <v/>
      </c>
      <c r="G215" s="761" t="str">
        <f>IF(C215="","",VLOOKUP(C215,Table_ingredients[],4,FALSE))</f>
        <v/>
      </c>
      <c r="H215" s="761" t="str">
        <f>IF(C215="","",VLOOKUP(C215,Table_ingredients[],5,FALSE))</f>
        <v/>
      </c>
      <c r="I215" s="761" t="str">
        <f>IF(C215="","",VLOOKUP(C215,Table_ingredients[],6,FALSE))</f>
        <v/>
      </c>
      <c r="J215" s="761" t="str">
        <f>IF(C215="","",VLOOKUP(C215,Table_ingredients[],7,FALSE))</f>
        <v/>
      </c>
      <c r="K215" s="761" t="str">
        <f>IF(C215="","",VLOOKUP(C215,Table_ingredients[],8,FALSE))</f>
        <v/>
      </c>
      <c r="L215" s="474" t="str">
        <f>IF(C215="","",VLOOKUP(C215,Table_ingredients[],9,FALSE))</f>
        <v/>
      </c>
      <c r="M215" s="772" t="str">
        <f>IF(C215="","",VLOOKUP(C215,Table_ingredients[],10,FALSE))</f>
        <v/>
      </c>
      <c r="N215" s="767" t="str">
        <f>IF(C215="","",VLOOKUP(C215,Table_ingredients[],12,FALSE))</f>
        <v/>
      </c>
      <c r="O215" s="472" t="str">
        <f t="shared" si="50"/>
        <v>No</v>
      </c>
      <c r="P215" s="471">
        <f t="shared" si="47"/>
        <v>0</v>
      </c>
      <c r="Q215" s="475" t="str">
        <f>IF(C215="","",VLOOKUP(C215,Table_ingredients[],13,FALSE))</f>
        <v/>
      </c>
      <c r="R215" s="471">
        <f t="shared" si="48"/>
        <v>0</v>
      </c>
      <c r="S215" s="104"/>
      <c r="T215" s="120">
        <f t="shared" si="49"/>
        <v>0</v>
      </c>
      <c r="V215" s="59" t="s">
        <v>1705</v>
      </c>
      <c r="W215" s="46">
        <v>0</v>
      </c>
      <c r="X215" s="46">
        <v>1</v>
      </c>
      <c r="Y215" s="46">
        <v>0</v>
      </c>
      <c r="Z215" s="46">
        <v>0</v>
      </c>
      <c r="AA215" s="46">
        <v>0</v>
      </c>
      <c r="AB215" s="46">
        <v>0</v>
      </c>
      <c r="AC215" s="46">
        <v>0</v>
      </c>
      <c r="AD215" s="46">
        <v>0</v>
      </c>
      <c r="AE215" s="46">
        <v>1</v>
      </c>
      <c r="AF215" s="59" t="s">
        <v>526</v>
      </c>
      <c r="AG215" s="59"/>
      <c r="AH215" s="59" t="s">
        <v>1635</v>
      </c>
    </row>
    <row r="216" spans="2:34" x14ac:dyDescent="0.25">
      <c r="B216" s="13" t="s">
        <v>522</v>
      </c>
      <c r="C216" s="764"/>
      <c r="D216" s="774"/>
      <c r="E216" s="761" t="str">
        <f>IF(C216="","",VLOOKUP(C216,Table_ingredients[],2,FALSE))</f>
        <v/>
      </c>
      <c r="F216" s="761" t="str">
        <f>IF(C216="","",VLOOKUP(C216,Table_ingredients[],3,FALSE))</f>
        <v/>
      </c>
      <c r="G216" s="761" t="str">
        <f>IF(C216="","",VLOOKUP(C216,Table_ingredients[],4,FALSE))</f>
        <v/>
      </c>
      <c r="H216" s="761" t="str">
        <f>IF(C216="","",VLOOKUP(C216,Table_ingredients[],5,FALSE))</f>
        <v/>
      </c>
      <c r="I216" s="761" t="str">
        <f>IF(C216="","",VLOOKUP(C216,Table_ingredients[],6,FALSE))</f>
        <v/>
      </c>
      <c r="J216" s="761" t="str">
        <f>IF(C216="","",VLOOKUP(C216,Table_ingredients[],7,FALSE))</f>
        <v/>
      </c>
      <c r="K216" s="761" t="str">
        <f>IF(C216="","",VLOOKUP(C216,Table_ingredients[],8,FALSE))</f>
        <v/>
      </c>
      <c r="L216" s="474" t="str">
        <f>IF(C216="","",VLOOKUP(C216,Table_ingredients[],9,FALSE))</f>
        <v/>
      </c>
      <c r="M216" s="772" t="str">
        <f>IF(C216="","",VLOOKUP(C216,Table_ingredients[],10,FALSE))</f>
        <v/>
      </c>
      <c r="N216" s="767" t="str">
        <f>IF(C216="","",VLOOKUP(C216,Table_ingredients[],12,FALSE))</f>
        <v/>
      </c>
      <c r="O216" s="472" t="str">
        <f t="shared" si="50"/>
        <v>No</v>
      </c>
      <c r="P216" s="471">
        <f t="shared" si="47"/>
        <v>0</v>
      </c>
      <c r="Q216" s="475" t="str">
        <f>IF(C216="","",VLOOKUP(C216,Table_ingredients[],13,FALSE))</f>
        <v/>
      </c>
      <c r="R216" s="471">
        <f t="shared" si="48"/>
        <v>0</v>
      </c>
      <c r="S216" s="104"/>
      <c r="T216" s="120">
        <f t="shared" si="49"/>
        <v>0</v>
      </c>
      <c r="V216" s="59" t="s">
        <v>906</v>
      </c>
      <c r="W216" s="46">
        <v>0</v>
      </c>
      <c r="X216" s="46">
        <v>0.99</v>
      </c>
      <c r="Y216" s="46">
        <v>0.01</v>
      </c>
      <c r="Z216" s="46">
        <v>0</v>
      </c>
      <c r="AA216" s="46">
        <v>0</v>
      </c>
      <c r="AB216" s="46">
        <v>0</v>
      </c>
      <c r="AC216" s="46">
        <v>0.01</v>
      </c>
      <c r="AD216" s="46">
        <v>0</v>
      </c>
      <c r="AE216" s="46">
        <v>0.99</v>
      </c>
      <c r="AF216" s="59" t="s">
        <v>1576</v>
      </c>
      <c r="AG216" s="59"/>
      <c r="AH216" s="59" t="s">
        <v>1635</v>
      </c>
    </row>
    <row r="217" spans="2:34" x14ac:dyDescent="0.25">
      <c r="B217" s="13" t="s">
        <v>523</v>
      </c>
      <c r="C217" s="764"/>
      <c r="D217" s="774"/>
      <c r="E217" s="761" t="str">
        <f>IF(C217="","",VLOOKUP(C217,Table_ingredients[],2,FALSE))</f>
        <v/>
      </c>
      <c r="F217" s="761" t="str">
        <f>IF(C217="","",VLOOKUP(C217,Table_ingredients[],3,FALSE))</f>
        <v/>
      </c>
      <c r="G217" s="761" t="str">
        <f>IF(C217="","",VLOOKUP(C217,Table_ingredients[],4,FALSE))</f>
        <v/>
      </c>
      <c r="H217" s="761" t="str">
        <f>IF(C217="","",VLOOKUP(C217,Table_ingredients[],5,FALSE))</f>
        <v/>
      </c>
      <c r="I217" s="761" t="str">
        <f>IF(C217="","",VLOOKUP(C217,Table_ingredients[],6,FALSE))</f>
        <v/>
      </c>
      <c r="J217" s="761" t="str">
        <f>IF(C217="","",VLOOKUP(C217,Table_ingredients[],7,FALSE))</f>
        <v/>
      </c>
      <c r="K217" s="761" t="str">
        <f>IF(C217="","",VLOOKUP(C217,Table_ingredients[],8,FALSE))</f>
        <v/>
      </c>
      <c r="L217" s="474" t="str">
        <f>IF(C217="","",VLOOKUP(C217,Table_ingredients[],9,FALSE))</f>
        <v/>
      </c>
      <c r="M217" s="772" t="str">
        <f>IF(C217="","",VLOOKUP(C217,Table_ingredients[],10,FALSE))</f>
        <v/>
      </c>
      <c r="N217" s="767" t="str">
        <f>IF(C217="","",VLOOKUP(C217,Table_ingredients[],12,FALSE))</f>
        <v/>
      </c>
      <c r="O217" s="472" t="str">
        <f t="shared" si="50"/>
        <v>No</v>
      </c>
      <c r="P217" s="471">
        <f t="shared" si="47"/>
        <v>0</v>
      </c>
      <c r="Q217" s="475" t="str">
        <f>IF(C217="","",VLOOKUP(C217,Table_ingredients[],13,FALSE))</f>
        <v/>
      </c>
      <c r="R217" s="471">
        <f t="shared" si="48"/>
        <v>0</v>
      </c>
      <c r="S217" s="104"/>
      <c r="T217" s="120">
        <f t="shared" si="49"/>
        <v>0</v>
      </c>
      <c r="V217" s="59" t="s">
        <v>913</v>
      </c>
      <c r="W217" s="46">
        <v>0</v>
      </c>
      <c r="X217" s="46">
        <v>0.99</v>
      </c>
      <c r="Y217" s="46">
        <v>0.01</v>
      </c>
      <c r="Z217" s="46">
        <v>0</v>
      </c>
      <c r="AA217" s="46">
        <v>0</v>
      </c>
      <c r="AB217" s="46">
        <v>0</v>
      </c>
      <c r="AC217" s="46">
        <v>0.01</v>
      </c>
      <c r="AD217" s="46">
        <v>0</v>
      </c>
      <c r="AE217" s="46">
        <v>0.99</v>
      </c>
      <c r="AF217" s="59" t="s">
        <v>1576</v>
      </c>
      <c r="AG217" s="59"/>
      <c r="AH217" s="59" t="s">
        <v>1635</v>
      </c>
    </row>
    <row r="218" spans="2:34" x14ac:dyDescent="0.25">
      <c r="B218" s="13" t="s">
        <v>1057</v>
      </c>
      <c r="C218" s="764"/>
      <c r="D218" s="774"/>
      <c r="E218" s="761" t="str">
        <f>IF(C218="","",VLOOKUP(C218,Table_ingredients[],2,FALSE))</f>
        <v/>
      </c>
      <c r="F218" s="761" t="str">
        <f>IF(C218="","",VLOOKUP(C218,Table_ingredients[],3,FALSE))</f>
        <v/>
      </c>
      <c r="G218" s="761" t="str">
        <f>IF(C218="","",VLOOKUP(C218,Table_ingredients[],4,FALSE))</f>
        <v/>
      </c>
      <c r="H218" s="761" t="str">
        <f>IF(C218="","",VLOOKUP(C218,Table_ingredients[],5,FALSE))</f>
        <v/>
      </c>
      <c r="I218" s="761" t="str">
        <f>IF(C218="","",VLOOKUP(C218,Table_ingredients[],6,FALSE))</f>
        <v/>
      </c>
      <c r="J218" s="761" t="str">
        <f>IF(C218="","",VLOOKUP(C218,Table_ingredients[],7,FALSE))</f>
        <v/>
      </c>
      <c r="K218" s="761" t="str">
        <f>IF(C218="","",VLOOKUP(C218,Table_ingredients[],8,FALSE))</f>
        <v/>
      </c>
      <c r="L218" s="474" t="str">
        <f>IF(C218="","",VLOOKUP(C218,Table_ingredients[],9,FALSE))</f>
        <v/>
      </c>
      <c r="M218" s="772" t="str">
        <f>IF(C218="","",VLOOKUP(C218,Table_ingredients[],10,FALSE))</f>
        <v/>
      </c>
      <c r="N218" s="767" t="str">
        <f>IF(C218="","",VLOOKUP(C218,Table_ingredients[],12,FALSE))</f>
        <v/>
      </c>
      <c r="O218" s="472" t="str">
        <f t="shared" si="50"/>
        <v>No</v>
      </c>
      <c r="P218" s="471">
        <f t="shared" si="47"/>
        <v>0</v>
      </c>
      <c r="Q218" s="475" t="str">
        <f>IF(C218="","",VLOOKUP(C218,Table_ingredients[],13,FALSE))</f>
        <v/>
      </c>
      <c r="R218" s="471">
        <f t="shared" si="48"/>
        <v>0</v>
      </c>
      <c r="S218" s="104"/>
      <c r="T218" s="120">
        <f t="shared" si="49"/>
        <v>0</v>
      </c>
      <c r="V218" s="59" t="s">
        <v>907</v>
      </c>
      <c r="W218" s="46">
        <v>0</v>
      </c>
      <c r="X218" s="46">
        <v>0.99</v>
      </c>
      <c r="Y218" s="46">
        <v>0.01</v>
      </c>
      <c r="Z218" s="46">
        <v>0</v>
      </c>
      <c r="AA218" s="46">
        <v>0</v>
      </c>
      <c r="AB218" s="46">
        <v>0</v>
      </c>
      <c r="AC218" s="46">
        <v>0.01</v>
      </c>
      <c r="AD218" s="46">
        <v>0</v>
      </c>
      <c r="AE218" s="46">
        <v>0.99</v>
      </c>
      <c r="AF218" s="59" t="s">
        <v>1576</v>
      </c>
      <c r="AG218" s="59"/>
      <c r="AH218" s="59" t="s">
        <v>1635</v>
      </c>
    </row>
    <row r="219" spans="2:34" x14ac:dyDescent="0.25">
      <c r="B219" s="13" t="s">
        <v>1058</v>
      </c>
      <c r="C219" s="764"/>
      <c r="D219" s="774"/>
      <c r="E219" s="761" t="str">
        <f>IF(C219="","",VLOOKUP(C219,Table_ingredients[],2,FALSE))</f>
        <v/>
      </c>
      <c r="F219" s="761" t="str">
        <f>IF(C219="","",VLOOKUP(C219,Table_ingredients[],3,FALSE))</f>
        <v/>
      </c>
      <c r="G219" s="761" t="str">
        <f>IF(C219="","",VLOOKUP(C219,Table_ingredients[],4,FALSE))</f>
        <v/>
      </c>
      <c r="H219" s="761" t="str">
        <f>IF(C219="","",VLOOKUP(C219,Table_ingredients[],5,FALSE))</f>
        <v/>
      </c>
      <c r="I219" s="761" t="str">
        <f>IF(C219="","",VLOOKUP(C219,Table_ingredients[],6,FALSE))</f>
        <v/>
      </c>
      <c r="J219" s="761" t="str">
        <f>IF(C219="","",VLOOKUP(C219,Table_ingredients[],7,FALSE))</f>
        <v/>
      </c>
      <c r="K219" s="761" t="str">
        <f>IF(C219="","",VLOOKUP(C219,Table_ingredients[],8,FALSE))</f>
        <v/>
      </c>
      <c r="L219" s="474" t="str">
        <f>IF(C219="","",VLOOKUP(C219,Table_ingredients[],9,FALSE))</f>
        <v/>
      </c>
      <c r="M219" s="772" t="str">
        <f>IF(C219="","",VLOOKUP(C219,Table_ingredients[],10,FALSE))</f>
        <v/>
      </c>
      <c r="N219" s="767" t="str">
        <f>IF(C219="","",VLOOKUP(C219,Table_ingredients[],12,FALSE))</f>
        <v/>
      </c>
      <c r="O219" s="472" t="str">
        <f t="shared" si="50"/>
        <v>No</v>
      </c>
      <c r="P219" s="471">
        <f t="shared" si="47"/>
        <v>0</v>
      </c>
      <c r="Q219" s="475" t="str">
        <f>IF(C219="","",VLOOKUP(C219,Table_ingredients[],13,FALSE))</f>
        <v/>
      </c>
      <c r="R219" s="471">
        <f t="shared" si="48"/>
        <v>0</v>
      </c>
      <c r="S219" s="104"/>
      <c r="T219" s="120">
        <f t="shared" si="49"/>
        <v>0</v>
      </c>
      <c r="V219" s="59" t="s">
        <v>908</v>
      </c>
      <c r="W219" s="46">
        <v>0</v>
      </c>
      <c r="X219" s="46">
        <v>0.99</v>
      </c>
      <c r="Y219" s="46">
        <v>0.01</v>
      </c>
      <c r="Z219" s="46">
        <v>0</v>
      </c>
      <c r="AA219" s="46">
        <v>0</v>
      </c>
      <c r="AB219" s="46">
        <v>0</v>
      </c>
      <c r="AC219" s="46">
        <v>0.01</v>
      </c>
      <c r="AD219" s="46">
        <v>0</v>
      </c>
      <c r="AE219" s="46">
        <v>0.99</v>
      </c>
      <c r="AF219" s="59" t="s">
        <v>1576</v>
      </c>
      <c r="AG219" s="59"/>
      <c r="AH219" s="59" t="s">
        <v>1635</v>
      </c>
    </row>
    <row r="220" spans="2:34" x14ac:dyDescent="0.25">
      <c r="B220" s="13" t="s">
        <v>1059</v>
      </c>
      <c r="C220" s="764"/>
      <c r="D220" s="774"/>
      <c r="E220" s="761" t="str">
        <f>IF(C220="","",VLOOKUP(C220,Table_ingredients[],2,FALSE))</f>
        <v/>
      </c>
      <c r="F220" s="761" t="str">
        <f>IF(C220="","",VLOOKUP(C220,Table_ingredients[],3,FALSE))</f>
        <v/>
      </c>
      <c r="G220" s="761" t="str">
        <f>IF(C220="","",VLOOKUP(C220,Table_ingredients[],4,FALSE))</f>
        <v/>
      </c>
      <c r="H220" s="761" t="str">
        <f>IF(C220="","",VLOOKUP(C220,Table_ingredients[],5,FALSE))</f>
        <v/>
      </c>
      <c r="I220" s="761" t="str">
        <f>IF(C220="","",VLOOKUP(C220,Table_ingredients[],6,FALSE))</f>
        <v/>
      </c>
      <c r="J220" s="761" t="str">
        <f>IF(C220="","",VLOOKUP(C220,Table_ingredients[],7,FALSE))</f>
        <v/>
      </c>
      <c r="K220" s="761" t="str">
        <f>IF(C220="","",VLOOKUP(C220,Table_ingredients[],8,FALSE))</f>
        <v/>
      </c>
      <c r="L220" s="474" t="str">
        <f>IF(C220="","",VLOOKUP(C220,Table_ingredients[],9,FALSE))</f>
        <v/>
      </c>
      <c r="M220" s="772" t="str">
        <f>IF(C220="","",VLOOKUP(C220,Table_ingredients[],10,FALSE))</f>
        <v/>
      </c>
      <c r="N220" s="767" t="str">
        <f>IF(C220="","",VLOOKUP(C220,Table_ingredients[],12,FALSE))</f>
        <v/>
      </c>
      <c r="O220" s="472" t="str">
        <f t="shared" si="50"/>
        <v>No</v>
      </c>
      <c r="P220" s="471">
        <f t="shared" si="47"/>
        <v>0</v>
      </c>
      <c r="Q220" s="475" t="str">
        <f>IF(C220="","",VLOOKUP(C220,Table_ingredients[],13,FALSE))</f>
        <v/>
      </c>
      <c r="R220" s="471">
        <f t="shared" si="48"/>
        <v>0</v>
      </c>
      <c r="S220" s="104"/>
      <c r="T220" s="120">
        <f t="shared" si="49"/>
        <v>0</v>
      </c>
      <c r="V220" s="59" t="s">
        <v>909</v>
      </c>
      <c r="W220" s="46">
        <v>0</v>
      </c>
      <c r="X220" s="46">
        <v>0.99</v>
      </c>
      <c r="Y220" s="46">
        <v>0.01</v>
      </c>
      <c r="Z220" s="46">
        <v>0</v>
      </c>
      <c r="AA220" s="46">
        <v>0</v>
      </c>
      <c r="AB220" s="46">
        <v>0</v>
      </c>
      <c r="AC220" s="46">
        <v>0.01</v>
      </c>
      <c r="AD220" s="46">
        <v>0</v>
      </c>
      <c r="AE220" s="46">
        <v>0.99</v>
      </c>
      <c r="AF220" s="59" t="s">
        <v>1576</v>
      </c>
      <c r="AG220" s="59"/>
      <c r="AH220" s="59" t="s">
        <v>1635</v>
      </c>
    </row>
    <row r="221" spans="2:34" x14ac:dyDescent="0.25">
      <c r="B221" s="13" t="s">
        <v>1060</v>
      </c>
      <c r="C221" s="764"/>
      <c r="D221" s="774"/>
      <c r="E221" s="761" t="str">
        <f>IF(C221="","",VLOOKUP(C221,Table_ingredients[],2,FALSE))</f>
        <v/>
      </c>
      <c r="F221" s="761" t="str">
        <f>IF(C221="","",VLOOKUP(C221,Table_ingredients[],3,FALSE))</f>
        <v/>
      </c>
      <c r="G221" s="761" t="str">
        <f>IF(C221="","",VLOOKUP(C221,Table_ingredients[],4,FALSE))</f>
        <v/>
      </c>
      <c r="H221" s="761" t="str">
        <f>IF(C221="","",VLOOKUP(C221,Table_ingredients[],5,FALSE))</f>
        <v/>
      </c>
      <c r="I221" s="761" t="str">
        <f>IF(C221="","",VLOOKUP(C221,Table_ingredients[],6,FALSE))</f>
        <v/>
      </c>
      <c r="J221" s="761" t="str">
        <f>IF(C221="","",VLOOKUP(C221,Table_ingredients[],7,FALSE))</f>
        <v/>
      </c>
      <c r="K221" s="761" t="str">
        <f>IF(C221="","",VLOOKUP(C221,Table_ingredients[],8,FALSE))</f>
        <v/>
      </c>
      <c r="L221" s="474" t="str">
        <f>IF(C221="","",VLOOKUP(C221,Table_ingredients[],9,FALSE))</f>
        <v/>
      </c>
      <c r="M221" s="772" t="str">
        <f>IF(C221="","",VLOOKUP(C221,Table_ingredients[],10,FALSE))</f>
        <v/>
      </c>
      <c r="N221" s="767" t="str">
        <f>IF(C221="","",VLOOKUP(C221,Table_ingredients[],12,FALSE))</f>
        <v/>
      </c>
      <c r="O221" s="472" t="str">
        <f t="shared" si="50"/>
        <v>No</v>
      </c>
      <c r="P221" s="471">
        <f t="shared" si="47"/>
        <v>0</v>
      </c>
      <c r="Q221" s="475" t="str">
        <f>IF(C221="","",VLOOKUP(C221,Table_ingredients[],13,FALSE))</f>
        <v/>
      </c>
      <c r="R221" s="471">
        <f t="shared" si="48"/>
        <v>0</v>
      </c>
      <c r="S221" s="104"/>
      <c r="T221" s="120">
        <f t="shared" si="49"/>
        <v>0</v>
      </c>
      <c r="V221" s="59" t="s">
        <v>910</v>
      </c>
      <c r="W221" s="46">
        <v>0</v>
      </c>
      <c r="X221" s="46">
        <v>0.99</v>
      </c>
      <c r="Y221" s="46">
        <v>0.01</v>
      </c>
      <c r="Z221" s="46">
        <v>0</v>
      </c>
      <c r="AA221" s="46">
        <v>0</v>
      </c>
      <c r="AB221" s="46">
        <v>0</v>
      </c>
      <c r="AC221" s="46">
        <v>0.01</v>
      </c>
      <c r="AD221" s="46">
        <v>0</v>
      </c>
      <c r="AE221" s="46">
        <v>0.99</v>
      </c>
      <c r="AF221" s="59" t="s">
        <v>1576</v>
      </c>
      <c r="AG221" s="59"/>
      <c r="AH221" s="59" t="s">
        <v>1635</v>
      </c>
    </row>
    <row r="222" spans="2:34" x14ac:dyDescent="0.25">
      <c r="B222" s="13" t="s">
        <v>1061</v>
      </c>
      <c r="C222" s="764"/>
      <c r="D222" s="774"/>
      <c r="E222" s="761" t="str">
        <f>IF(C222="","",VLOOKUP(C222,Table_ingredients[],2,FALSE))</f>
        <v/>
      </c>
      <c r="F222" s="761" t="str">
        <f>IF(C222="","",VLOOKUP(C222,Table_ingredients[],3,FALSE))</f>
        <v/>
      </c>
      <c r="G222" s="761" t="str">
        <f>IF(C222="","",VLOOKUP(C222,Table_ingredients[],4,FALSE))</f>
        <v/>
      </c>
      <c r="H222" s="761" t="str">
        <f>IF(C222="","",VLOOKUP(C222,Table_ingredients[],5,FALSE))</f>
        <v/>
      </c>
      <c r="I222" s="761" t="str">
        <f>IF(C222="","",VLOOKUP(C222,Table_ingredients[],6,FALSE))</f>
        <v/>
      </c>
      <c r="J222" s="761" t="str">
        <f>IF(C222="","",VLOOKUP(C222,Table_ingredients[],7,FALSE))</f>
        <v/>
      </c>
      <c r="K222" s="761" t="str">
        <f>IF(C222="","",VLOOKUP(C222,Table_ingredients[],8,FALSE))</f>
        <v/>
      </c>
      <c r="L222" s="474" t="str">
        <f>IF(C222="","",VLOOKUP(C222,Table_ingredients[],9,FALSE))</f>
        <v/>
      </c>
      <c r="M222" s="772" t="str">
        <f>IF(C222="","",VLOOKUP(C222,Table_ingredients[],10,FALSE))</f>
        <v/>
      </c>
      <c r="N222" s="767" t="str">
        <f>IF(C222="","",VLOOKUP(C222,Table_ingredients[],12,FALSE))</f>
        <v/>
      </c>
      <c r="O222" s="472" t="str">
        <f t="shared" si="50"/>
        <v>No</v>
      </c>
      <c r="P222" s="471">
        <f t="shared" si="47"/>
        <v>0</v>
      </c>
      <c r="Q222" s="475" t="str">
        <f>IF(C222="","",VLOOKUP(C222,Table_ingredients[],13,FALSE))</f>
        <v/>
      </c>
      <c r="R222" s="471">
        <f t="shared" si="48"/>
        <v>0</v>
      </c>
      <c r="S222" s="104"/>
      <c r="T222" s="120">
        <f t="shared" si="49"/>
        <v>0</v>
      </c>
      <c r="V222" s="59" t="s">
        <v>911</v>
      </c>
      <c r="W222" s="46">
        <v>0</v>
      </c>
      <c r="X222" s="46">
        <v>0.99</v>
      </c>
      <c r="Y222" s="46">
        <v>0.01</v>
      </c>
      <c r="Z222" s="46">
        <v>0</v>
      </c>
      <c r="AA222" s="46">
        <v>0</v>
      </c>
      <c r="AB222" s="46">
        <v>0</v>
      </c>
      <c r="AC222" s="46">
        <v>0.01</v>
      </c>
      <c r="AD222" s="46">
        <v>0</v>
      </c>
      <c r="AE222" s="46">
        <v>0.99</v>
      </c>
      <c r="AF222" s="59" t="s">
        <v>1576</v>
      </c>
      <c r="AG222" s="59"/>
      <c r="AH222" s="59" t="s">
        <v>1635</v>
      </c>
    </row>
    <row r="223" spans="2:34" ht="15.75" thickBot="1" x14ac:dyDescent="0.3">
      <c r="B223" s="16" t="s">
        <v>1062</v>
      </c>
      <c r="C223" s="765"/>
      <c r="D223" s="775"/>
      <c r="E223" s="776" t="str">
        <f>IF(C223="","",VLOOKUP(C223,Table_ingredients[],2,FALSE))</f>
        <v/>
      </c>
      <c r="F223" s="776" t="str">
        <f>IF(C223="","",VLOOKUP(C223,Table_ingredients[],3,FALSE))</f>
        <v/>
      </c>
      <c r="G223" s="776" t="str">
        <f>IF(C223="","",VLOOKUP(C223,Table_ingredients[],4,FALSE))</f>
        <v/>
      </c>
      <c r="H223" s="776" t="str">
        <f>IF(C223="","",VLOOKUP(C223,Table_ingredients[],5,FALSE))</f>
        <v/>
      </c>
      <c r="I223" s="776" t="str">
        <f>IF(C223="","",VLOOKUP(C223,Table_ingredients[],6,FALSE))</f>
        <v/>
      </c>
      <c r="J223" s="776" t="str">
        <f>IF(C223="","",VLOOKUP(C223,Table_ingredients[],7,FALSE))</f>
        <v/>
      </c>
      <c r="K223" s="776" t="str">
        <f>IF(C223="","",VLOOKUP(C223,Table_ingredients[],8,FALSE))</f>
        <v/>
      </c>
      <c r="L223" s="777" t="str">
        <f>IF(C223="","",VLOOKUP(C223,Table_ingredients[],9,FALSE))</f>
        <v/>
      </c>
      <c r="M223" s="778" t="str">
        <f>IF(C223="","",VLOOKUP(C223,Table_ingredients[],10,FALSE))</f>
        <v/>
      </c>
      <c r="N223" s="767" t="str">
        <f>IF(C223="","",VLOOKUP(C223,Table_ingredients[],12,FALSE))</f>
        <v/>
      </c>
      <c r="O223" s="479" t="str">
        <f t="shared" si="50"/>
        <v>No</v>
      </c>
      <c r="P223" s="478">
        <f t="shared" si="47"/>
        <v>0</v>
      </c>
      <c r="Q223" s="475" t="str">
        <f>IF(C223="","",VLOOKUP(C223,Table_ingredients[],13,FALSE))</f>
        <v/>
      </c>
      <c r="R223" s="478">
        <f t="shared" si="48"/>
        <v>0</v>
      </c>
      <c r="S223" s="477"/>
      <c r="T223" s="120">
        <f t="shared" si="49"/>
        <v>0</v>
      </c>
      <c r="V223" s="59" t="s">
        <v>912</v>
      </c>
      <c r="W223" s="46">
        <v>0</v>
      </c>
      <c r="X223" s="46">
        <v>0.99</v>
      </c>
      <c r="Y223" s="46">
        <v>0.01</v>
      </c>
      <c r="Z223" s="46">
        <v>0</v>
      </c>
      <c r="AA223" s="46">
        <v>0</v>
      </c>
      <c r="AB223" s="46">
        <v>0</v>
      </c>
      <c r="AC223" s="46">
        <v>0.01</v>
      </c>
      <c r="AD223" s="46">
        <v>0</v>
      </c>
      <c r="AE223" s="46">
        <v>0.99</v>
      </c>
      <c r="AF223" s="59" t="s">
        <v>1576</v>
      </c>
      <c r="AG223" s="59"/>
      <c r="AH223" s="59" t="s">
        <v>1635</v>
      </c>
    </row>
    <row r="224" spans="2:34" ht="15.75" thickBot="1" x14ac:dyDescent="0.3">
      <c r="B224" s="26"/>
      <c r="C224" s="483" t="s">
        <v>1123</v>
      </c>
      <c r="D224" s="484">
        <f>SUM(D208:D223)</f>
        <v>0</v>
      </c>
      <c r="E224" s="759">
        <f>SUMPRODUCT($D$16:$D$31,E208:E223)</f>
        <v>0</v>
      </c>
      <c r="F224" s="759">
        <f t="shared" ref="F224:M224" si="51">SUMPRODUCT($D$16:$D$31,F208:F223)</f>
        <v>0</v>
      </c>
      <c r="G224" s="759">
        <f t="shared" si="51"/>
        <v>0</v>
      </c>
      <c r="H224" s="759">
        <f t="shared" si="51"/>
        <v>0</v>
      </c>
      <c r="I224" s="759">
        <f t="shared" si="51"/>
        <v>0</v>
      </c>
      <c r="J224" s="759">
        <f t="shared" si="51"/>
        <v>0</v>
      </c>
      <c r="K224" s="759">
        <f t="shared" si="51"/>
        <v>0</v>
      </c>
      <c r="L224" s="759">
        <f t="shared" si="51"/>
        <v>0</v>
      </c>
      <c r="M224" s="759">
        <f t="shared" si="51"/>
        <v>0</v>
      </c>
      <c r="N224" s="779"/>
      <c r="O224" s="780"/>
      <c r="P224" s="484">
        <f>SUM(P208:P223)</f>
        <v>0</v>
      </c>
      <c r="Q224" s="91"/>
      <c r="R224" s="485">
        <f>SUM(R208:R223)</f>
        <v>0</v>
      </c>
      <c r="S224" s="91"/>
      <c r="T224" s="486">
        <f>SUM(T208:T223)</f>
        <v>0</v>
      </c>
      <c r="V224" s="59" t="s">
        <v>914</v>
      </c>
      <c r="W224" s="46">
        <v>0</v>
      </c>
      <c r="X224" s="46">
        <v>0.99</v>
      </c>
      <c r="Y224" s="46">
        <v>0.01</v>
      </c>
      <c r="Z224" s="46">
        <v>0</v>
      </c>
      <c r="AA224" s="46">
        <v>0</v>
      </c>
      <c r="AB224" s="46">
        <v>0</v>
      </c>
      <c r="AC224" s="46">
        <v>0.01</v>
      </c>
      <c r="AD224" s="46">
        <v>0</v>
      </c>
      <c r="AE224" s="46">
        <v>0.99</v>
      </c>
      <c r="AF224" s="59" t="s">
        <v>1576</v>
      </c>
      <c r="AG224" s="59"/>
      <c r="AH224" s="59" t="s">
        <v>1635</v>
      </c>
    </row>
    <row r="225" spans="2:34" ht="15.75" thickBot="1" x14ac:dyDescent="0.3">
      <c r="B225" s="480"/>
      <c r="C225" s="481"/>
      <c r="D225" s="482" t="str">
        <f>IF(D224=100%,"OK","Not 100%")</f>
        <v>Not 100%</v>
      </c>
      <c r="E225" s="760"/>
      <c r="F225" s="760"/>
      <c r="G225" s="760"/>
      <c r="H225" s="760"/>
      <c r="I225" s="760"/>
      <c r="J225" s="760"/>
      <c r="K225" s="760"/>
      <c r="L225" s="846"/>
      <c r="M225" s="847"/>
      <c r="N225" s="847"/>
      <c r="O225" s="847"/>
      <c r="P225" s="847"/>
      <c r="Q225" s="847"/>
      <c r="R225" s="847"/>
      <c r="S225" s="847"/>
      <c r="T225" s="848"/>
      <c r="V225" s="59" t="s">
        <v>920</v>
      </c>
      <c r="W225" s="46">
        <v>0</v>
      </c>
      <c r="X225" s="46">
        <v>0.98</v>
      </c>
      <c r="Y225" s="46">
        <v>0.02</v>
      </c>
      <c r="Z225" s="46">
        <v>0</v>
      </c>
      <c r="AA225" s="46">
        <v>0</v>
      </c>
      <c r="AB225" s="46">
        <v>0</v>
      </c>
      <c r="AC225" s="46">
        <v>0.01</v>
      </c>
      <c r="AD225" s="46">
        <v>0</v>
      </c>
      <c r="AE225" s="46">
        <v>0.99</v>
      </c>
      <c r="AF225" s="59" t="s">
        <v>1576</v>
      </c>
      <c r="AG225" s="59"/>
      <c r="AH225" s="59" t="s">
        <v>1635</v>
      </c>
    </row>
    <row r="226" spans="2:34" ht="15.75" thickBot="1" x14ac:dyDescent="0.3">
      <c r="V226" s="59" t="s">
        <v>915</v>
      </c>
      <c r="W226" s="46">
        <v>0</v>
      </c>
      <c r="X226" s="46">
        <v>0.99</v>
      </c>
      <c r="Y226" s="46">
        <v>0.01</v>
      </c>
      <c r="Z226" s="46">
        <v>0</v>
      </c>
      <c r="AA226" s="46">
        <v>0</v>
      </c>
      <c r="AB226" s="46">
        <v>0</v>
      </c>
      <c r="AC226" s="46">
        <v>0.01</v>
      </c>
      <c r="AD226" s="46">
        <v>0</v>
      </c>
      <c r="AE226" s="46">
        <v>0.99</v>
      </c>
      <c r="AF226" s="59" t="s">
        <v>1576</v>
      </c>
      <c r="AG226" s="59"/>
      <c r="AH226" s="59" t="s">
        <v>1635</v>
      </c>
    </row>
    <row r="227" spans="2:34" ht="21.75" thickBot="1" x14ac:dyDescent="0.4">
      <c r="B227" s="860" t="s">
        <v>1477</v>
      </c>
      <c r="C227" s="861"/>
      <c r="D227" s="861"/>
      <c r="E227" s="861"/>
      <c r="F227" s="862"/>
      <c r="G227" s="862"/>
      <c r="H227" s="861"/>
      <c r="I227" s="861"/>
      <c r="J227" s="861"/>
      <c r="K227" s="861"/>
      <c r="L227" s="861"/>
      <c r="M227" s="861"/>
      <c r="N227" s="861"/>
      <c r="O227" s="861"/>
      <c r="P227" s="861"/>
      <c r="Q227" s="861"/>
      <c r="R227" s="861"/>
      <c r="S227" s="861"/>
      <c r="T227" s="863"/>
      <c r="V227" s="59" t="s">
        <v>916</v>
      </c>
      <c r="W227" s="46">
        <v>0</v>
      </c>
      <c r="X227" s="46">
        <v>0.99</v>
      </c>
      <c r="Y227" s="46">
        <v>0.01</v>
      </c>
      <c r="Z227" s="46">
        <v>0</v>
      </c>
      <c r="AA227" s="46">
        <v>0</v>
      </c>
      <c r="AB227" s="46">
        <v>0</v>
      </c>
      <c r="AC227" s="46">
        <v>0.01</v>
      </c>
      <c r="AD227" s="46">
        <v>0</v>
      </c>
      <c r="AE227" s="46">
        <v>0.99</v>
      </c>
      <c r="AF227" s="59" t="s">
        <v>1576</v>
      </c>
      <c r="AG227" s="59"/>
      <c r="AH227" s="59" t="s">
        <v>1635</v>
      </c>
    </row>
    <row r="228" spans="2:34" ht="15" customHeight="1" x14ac:dyDescent="0.25">
      <c r="B228" s="849" t="s">
        <v>1463</v>
      </c>
      <c r="C228" s="870"/>
      <c r="D228" s="873" t="s">
        <v>1193</v>
      </c>
      <c r="E228" s="875"/>
      <c r="F228" s="864" t="s">
        <v>1192</v>
      </c>
      <c r="G228" s="867"/>
      <c r="H228" s="877" t="s">
        <v>1188</v>
      </c>
      <c r="I228" s="491" t="s">
        <v>1464</v>
      </c>
      <c r="J228" s="495"/>
      <c r="K228" s="849" t="s">
        <v>1467</v>
      </c>
      <c r="L228" s="856" t="s">
        <v>1464</v>
      </c>
      <c r="M228" s="852"/>
      <c r="N228" s="853"/>
      <c r="O228" s="880"/>
      <c r="P228" s="881"/>
      <c r="Q228" s="881"/>
      <c r="R228" s="881"/>
      <c r="S228" s="881"/>
      <c r="T228" s="882"/>
      <c r="V228" s="59" t="s">
        <v>917</v>
      </c>
      <c r="W228" s="46">
        <v>0</v>
      </c>
      <c r="X228" s="46">
        <v>0.99</v>
      </c>
      <c r="Y228" s="46">
        <v>0.01</v>
      </c>
      <c r="Z228" s="46">
        <v>0</v>
      </c>
      <c r="AA228" s="46">
        <v>0</v>
      </c>
      <c r="AB228" s="46">
        <v>0</v>
      </c>
      <c r="AC228" s="46">
        <v>0.01</v>
      </c>
      <c r="AD228" s="46">
        <v>0</v>
      </c>
      <c r="AE228" s="46">
        <v>0.99</v>
      </c>
      <c r="AF228" s="59" t="s">
        <v>1576</v>
      </c>
      <c r="AG228" s="59"/>
      <c r="AH228" s="59" t="s">
        <v>1635</v>
      </c>
    </row>
    <row r="229" spans="2:34" x14ac:dyDescent="0.25">
      <c r="B229" s="850"/>
      <c r="C229" s="871"/>
      <c r="D229" s="874"/>
      <c r="E229" s="876"/>
      <c r="F229" s="865"/>
      <c r="G229" s="868"/>
      <c r="H229" s="878"/>
      <c r="I229" s="489" t="s">
        <v>1465</v>
      </c>
      <c r="J229" s="496"/>
      <c r="K229" s="850"/>
      <c r="L229" s="857"/>
      <c r="M229" s="854"/>
      <c r="N229" s="855"/>
      <c r="O229" s="883"/>
      <c r="P229" s="884"/>
      <c r="Q229" s="884"/>
      <c r="R229" s="884"/>
      <c r="S229" s="884"/>
      <c r="T229" s="885"/>
      <c r="V229" s="59" t="s">
        <v>923</v>
      </c>
      <c r="W229" s="46">
        <v>0</v>
      </c>
      <c r="X229" s="46">
        <v>0.99</v>
      </c>
      <c r="Y229" s="46">
        <v>0.01</v>
      </c>
      <c r="Z229" s="46">
        <v>0</v>
      </c>
      <c r="AA229" s="46">
        <v>0</v>
      </c>
      <c r="AB229" s="46">
        <v>0</v>
      </c>
      <c r="AC229" s="46">
        <v>0.01</v>
      </c>
      <c r="AD229" s="46">
        <v>0</v>
      </c>
      <c r="AE229" s="46">
        <v>0.99</v>
      </c>
      <c r="AF229" s="59" t="s">
        <v>1576</v>
      </c>
      <c r="AG229" s="59"/>
      <c r="AH229" s="59" t="s">
        <v>1635</v>
      </c>
    </row>
    <row r="230" spans="2:34" ht="15.75" thickBot="1" x14ac:dyDescent="0.3">
      <c r="B230" s="851"/>
      <c r="C230" s="872"/>
      <c r="D230" s="874"/>
      <c r="E230" s="876"/>
      <c r="F230" s="866"/>
      <c r="G230" s="869"/>
      <c r="H230" s="879"/>
      <c r="I230" s="490" t="s">
        <v>1466</v>
      </c>
      <c r="J230" s="497"/>
      <c r="K230" s="851"/>
      <c r="L230" s="490" t="s">
        <v>1468</v>
      </c>
      <c r="M230" s="858"/>
      <c r="N230" s="859"/>
      <c r="O230" s="886"/>
      <c r="P230" s="887"/>
      <c r="Q230" s="887"/>
      <c r="R230" s="887"/>
      <c r="S230" s="887"/>
      <c r="T230" s="888"/>
      <c r="V230" s="59" t="s">
        <v>918</v>
      </c>
      <c r="W230" s="46">
        <v>0</v>
      </c>
      <c r="X230" s="46">
        <v>0.99</v>
      </c>
      <c r="Y230" s="46">
        <v>0.01</v>
      </c>
      <c r="Z230" s="46">
        <v>0</v>
      </c>
      <c r="AA230" s="46">
        <v>0</v>
      </c>
      <c r="AB230" s="46">
        <v>0</v>
      </c>
      <c r="AC230" s="46">
        <v>0.01</v>
      </c>
      <c r="AD230" s="46">
        <v>0</v>
      </c>
      <c r="AE230" s="46">
        <v>0.99</v>
      </c>
      <c r="AF230" s="59" t="s">
        <v>1576</v>
      </c>
      <c r="AG230" s="59"/>
      <c r="AH230" s="59" t="s">
        <v>1635</v>
      </c>
    </row>
    <row r="231" spans="2:34" ht="45.75" thickBot="1" x14ac:dyDescent="0.3">
      <c r="B231" s="488"/>
      <c r="C231" s="762" t="s">
        <v>511</v>
      </c>
      <c r="D231" s="768" t="s">
        <v>512</v>
      </c>
      <c r="E231" s="769" t="s">
        <v>1479</v>
      </c>
      <c r="F231" s="492" t="s">
        <v>1571</v>
      </c>
      <c r="G231" s="492" t="s">
        <v>1636</v>
      </c>
      <c r="H231" s="769" t="s">
        <v>1573</v>
      </c>
      <c r="I231" s="769" t="s">
        <v>1574</v>
      </c>
      <c r="J231" s="769" t="s">
        <v>1090</v>
      </c>
      <c r="K231" s="769" t="s">
        <v>1575</v>
      </c>
      <c r="L231" s="769" t="s">
        <v>1041</v>
      </c>
      <c r="M231" s="770" t="s">
        <v>1046</v>
      </c>
      <c r="N231" s="766" t="s">
        <v>1063</v>
      </c>
      <c r="O231" s="492" t="s">
        <v>1067</v>
      </c>
      <c r="P231" s="492" t="s">
        <v>1066</v>
      </c>
      <c r="Q231" s="492" t="s">
        <v>519</v>
      </c>
      <c r="R231" s="492"/>
      <c r="S231" s="493" t="s">
        <v>1189</v>
      </c>
      <c r="T231" s="494" t="s">
        <v>1190</v>
      </c>
      <c r="V231" s="59" t="s">
        <v>919</v>
      </c>
      <c r="W231" s="46">
        <v>0</v>
      </c>
      <c r="X231" s="46">
        <v>0.99</v>
      </c>
      <c r="Y231" s="46">
        <v>0.01</v>
      </c>
      <c r="Z231" s="46">
        <v>0</v>
      </c>
      <c r="AA231" s="46">
        <v>0</v>
      </c>
      <c r="AB231" s="46">
        <v>0</v>
      </c>
      <c r="AC231" s="46">
        <v>0.01</v>
      </c>
      <c r="AD231" s="46">
        <v>0</v>
      </c>
      <c r="AE231" s="46">
        <v>0.99</v>
      </c>
      <c r="AF231" s="59" t="s">
        <v>1576</v>
      </c>
      <c r="AG231" s="59"/>
      <c r="AH231" s="59" t="s">
        <v>1635</v>
      </c>
    </row>
    <row r="232" spans="2:34" x14ac:dyDescent="0.25">
      <c r="B232" s="21" t="s">
        <v>513</v>
      </c>
      <c r="C232" s="763"/>
      <c r="D232" s="771"/>
      <c r="E232" s="761" t="str">
        <f>IF(C232="","",VLOOKUP(C232,Table_ingredients[],2,FALSE))</f>
        <v/>
      </c>
      <c r="F232" s="761" t="str">
        <f>IF(C232="","",VLOOKUP(C232,Table_ingredients[],3,FALSE))</f>
        <v/>
      </c>
      <c r="G232" s="761" t="str">
        <f>IF(C232="","",VLOOKUP(C232,Table_ingredients[],4,FALSE))</f>
        <v/>
      </c>
      <c r="H232" s="761" t="str">
        <f>IF(C232="","",VLOOKUP(C232,Table_ingredients[],5,FALSE))</f>
        <v/>
      </c>
      <c r="I232" s="761" t="str">
        <f>IF(C232="","",VLOOKUP(C232,Table_ingredients[],6,FALSE))</f>
        <v/>
      </c>
      <c r="J232" s="761" t="str">
        <f>IF(C232="","",VLOOKUP(C232,Table_ingredients[],7,FALSE))</f>
        <v/>
      </c>
      <c r="K232" s="761" t="str">
        <f>IF(C232="","",VLOOKUP(C232,Table_ingredients[],8,FALSE))</f>
        <v/>
      </c>
      <c r="L232" s="474" t="str">
        <f>IF(C232="","",VLOOKUP(C232,Table_ingredients[],9,FALSE))</f>
        <v/>
      </c>
      <c r="M232" s="772" t="str">
        <f>IF(C232="","",VLOOKUP(C232,Table_ingredients[],10,FALSE))</f>
        <v/>
      </c>
      <c r="N232" s="767" t="str">
        <f>IF(C232="","",VLOOKUP(C232,Table_ingredients[],12,FALSE))</f>
        <v/>
      </c>
      <c r="O232" s="476" t="str">
        <f>IF(N232=$C$3,"Yes","No")</f>
        <v>No</v>
      </c>
      <c r="P232" s="474">
        <f t="shared" ref="P232:P247" si="52">IF(O232="Yes",D232,0)</f>
        <v>0</v>
      </c>
      <c r="Q232" s="475" t="str">
        <f>IF(C232="","",VLOOKUP(C232,Table_ingredients[],13,FALSE))</f>
        <v/>
      </c>
      <c r="R232" s="474">
        <f t="shared" ref="R232:R247" si="53">IF(Q232="Yes",D232,0)</f>
        <v>0</v>
      </c>
      <c r="S232" s="109"/>
      <c r="T232" s="120">
        <f t="shared" ref="T232:T247" si="54">S232*D232*$C$12</f>
        <v>0</v>
      </c>
      <c r="V232" s="59" t="s">
        <v>623</v>
      </c>
      <c r="W232" s="46">
        <v>0.82</v>
      </c>
      <c r="X232" s="46">
        <v>7.0000000000000007E-2</v>
      </c>
      <c r="Y232" s="46">
        <v>0.05</v>
      </c>
      <c r="Z232" s="46">
        <v>0.02</v>
      </c>
      <c r="AA232" s="46">
        <v>0.06</v>
      </c>
      <c r="AB232" s="46">
        <v>1.84E-2</v>
      </c>
      <c r="AC232" s="46">
        <v>0.03</v>
      </c>
      <c r="AD232" s="46">
        <v>0.13119999999999998</v>
      </c>
      <c r="AE232" s="46">
        <v>0.97</v>
      </c>
      <c r="AF232" s="59" t="s">
        <v>1576</v>
      </c>
      <c r="AG232" s="59"/>
      <c r="AH232" s="59" t="s">
        <v>1635</v>
      </c>
    </row>
    <row r="233" spans="2:34" x14ac:dyDescent="0.25">
      <c r="B233" s="13" t="s">
        <v>514</v>
      </c>
      <c r="C233" s="764"/>
      <c r="D233" s="773"/>
      <c r="E233" s="761" t="str">
        <f>IF(C233="","",VLOOKUP(C233,Table_ingredients[],2,FALSE))</f>
        <v/>
      </c>
      <c r="F233" s="761" t="str">
        <f>IF(C233="","",VLOOKUP(C233,Table_ingredients[],3,FALSE))</f>
        <v/>
      </c>
      <c r="G233" s="761" t="str">
        <f>IF(C233="","",VLOOKUP(C233,Table_ingredients[],4,FALSE))</f>
        <v/>
      </c>
      <c r="H233" s="761" t="str">
        <f>IF(C233="","",VLOOKUP(C233,Table_ingredients[],5,FALSE))</f>
        <v/>
      </c>
      <c r="I233" s="761" t="str">
        <f>IF(C233="","",VLOOKUP(C233,Table_ingredients[],6,FALSE))</f>
        <v/>
      </c>
      <c r="J233" s="761" t="str">
        <f>IF(C233="","",VLOOKUP(C233,Table_ingredients[],7,FALSE))</f>
        <v/>
      </c>
      <c r="K233" s="761" t="str">
        <f>IF(C233="","",VLOOKUP(C233,Table_ingredients[],8,FALSE))</f>
        <v/>
      </c>
      <c r="L233" s="474" t="str">
        <f>IF(C233="","",VLOOKUP(C233,Table_ingredients[],9,FALSE))</f>
        <v/>
      </c>
      <c r="M233" s="772" t="str">
        <f>IF(C233="","",VLOOKUP(C233,Table_ingredients[],10,FALSE))</f>
        <v/>
      </c>
      <c r="N233" s="767" t="str">
        <f>IF(C233="","",VLOOKUP(C233,Table_ingredients[],12,FALSE))</f>
        <v/>
      </c>
      <c r="O233" s="472" t="str">
        <f t="shared" ref="O233:O247" si="55">IF(N233=$C$3,"Yes","No")</f>
        <v>No</v>
      </c>
      <c r="P233" s="471">
        <f t="shared" si="52"/>
        <v>0</v>
      </c>
      <c r="Q233" s="475" t="str">
        <f>IF(C233="","",VLOOKUP(C233,Table_ingredients[],13,FALSE))</f>
        <v/>
      </c>
      <c r="R233" s="471">
        <f t="shared" si="53"/>
        <v>0</v>
      </c>
      <c r="S233" s="104"/>
      <c r="T233" s="120">
        <f t="shared" si="54"/>
        <v>0</v>
      </c>
      <c r="V233" s="59" t="s">
        <v>633</v>
      </c>
      <c r="W233" s="46">
        <v>0.151</v>
      </c>
      <c r="X233" s="46">
        <v>0.17600000000000002</v>
      </c>
      <c r="Y233" s="46">
        <v>0.65800000000000014</v>
      </c>
      <c r="Z233" s="46">
        <v>4.0000000000000001E-3</v>
      </c>
      <c r="AA233" s="46">
        <v>1.4999999999999999E-2</v>
      </c>
      <c r="AB233" s="46">
        <v>4.0000000000000001E-3</v>
      </c>
      <c r="AC233" s="46">
        <v>0.65</v>
      </c>
      <c r="AD233" s="46">
        <v>2.4160000000000001E-2</v>
      </c>
      <c r="AE233" s="46">
        <v>0.35</v>
      </c>
      <c r="AF233" s="59" t="s">
        <v>1576</v>
      </c>
      <c r="AG233" s="59"/>
      <c r="AH233" s="59" t="s">
        <v>1635</v>
      </c>
    </row>
    <row r="234" spans="2:34" x14ac:dyDescent="0.25">
      <c r="B234" s="13" t="s">
        <v>515</v>
      </c>
      <c r="C234" s="764"/>
      <c r="D234" s="773"/>
      <c r="E234" s="761" t="str">
        <f>IF(C234="","",VLOOKUP(C234,Table_ingredients[],2,FALSE))</f>
        <v/>
      </c>
      <c r="F234" s="761" t="str">
        <f>IF(C234="","",VLOOKUP(C234,Table_ingredients[],3,FALSE))</f>
        <v/>
      </c>
      <c r="G234" s="761" t="str">
        <f>IF(C234="","",VLOOKUP(C234,Table_ingredients[],4,FALSE))</f>
        <v/>
      </c>
      <c r="H234" s="761" t="str">
        <f>IF(C234="","",VLOOKUP(C234,Table_ingredients[],5,FALSE))</f>
        <v/>
      </c>
      <c r="I234" s="761" t="str">
        <f>IF(C234="","",VLOOKUP(C234,Table_ingredients[],6,FALSE))</f>
        <v/>
      </c>
      <c r="J234" s="761" t="str">
        <f>IF(C234="","",VLOOKUP(C234,Table_ingredients[],7,FALSE))</f>
        <v/>
      </c>
      <c r="K234" s="761" t="str">
        <f>IF(C234="","",VLOOKUP(C234,Table_ingredients[],8,FALSE))</f>
        <v/>
      </c>
      <c r="L234" s="474" t="str">
        <f>IF(C234="","",VLOOKUP(C234,Table_ingredients[],9,FALSE))</f>
        <v/>
      </c>
      <c r="M234" s="772" t="str">
        <f>IF(C234="","",VLOOKUP(C234,Table_ingredients[],10,FALSE))</f>
        <v/>
      </c>
      <c r="N234" s="767" t="str">
        <f>IF(C234="","",VLOOKUP(C234,Table_ingredients[],12,FALSE))</f>
        <v/>
      </c>
      <c r="O234" s="472" t="str">
        <f t="shared" si="55"/>
        <v>No</v>
      </c>
      <c r="P234" s="471">
        <f t="shared" si="52"/>
        <v>0</v>
      </c>
      <c r="Q234" s="475" t="str">
        <f>IF(C234="","",VLOOKUP(C234,Table_ingredients[],13,FALSE))</f>
        <v/>
      </c>
      <c r="R234" s="471">
        <f t="shared" si="53"/>
        <v>0</v>
      </c>
      <c r="S234" s="104"/>
      <c r="T234" s="120">
        <f t="shared" si="54"/>
        <v>0</v>
      </c>
      <c r="V234" s="59" t="s">
        <v>632</v>
      </c>
      <c r="W234" s="46">
        <v>0.3</v>
      </c>
      <c r="X234" s="46">
        <v>0.05</v>
      </c>
      <c r="Y234" s="46">
        <v>0.61499999999999999</v>
      </c>
      <c r="Z234" s="46">
        <v>5.0000000000000001E-3</v>
      </c>
      <c r="AA234" s="46">
        <v>3.5000000000000003E-2</v>
      </c>
      <c r="AB234" s="46">
        <v>8.0000000000000002E-3</v>
      </c>
      <c r="AC234" s="46">
        <v>0.55000000000000004</v>
      </c>
      <c r="AD234" s="46">
        <v>4.8000000000000001E-2</v>
      </c>
      <c r="AE234" s="46">
        <v>0.45</v>
      </c>
      <c r="AF234" s="59" t="s">
        <v>1576</v>
      </c>
      <c r="AG234" s="59"/>
      <c r="AH234" s="59" t="s">
        <v>1635</v>
      </c>
    </row>
    <row r="235" spans="2:34" x14ac:dyDescent="0.25">
      <c r="B235" s="13" t="s">
        <v>516</v>
      </c>
      <c r="C235" s="764"/>
      <c r="D235" s="773"/>
      <c r="E235" s="761" t="str">
        <f>IF(C235="","",VLOOKUP(C235,Table_ingredients[],2,FALSE))</f>
        <v/>
      </c>
      <c r="F235" s="761" t="str">
        <f>IF(C235="","",VLOOKUP(C235,Table_ingredients[],3,FALSE))</f>
        <v/>
      </c>
      <c r="G235" s="761" t="str">
        <f>IF(C235="","",VLOOKUP(C235,Table_ingredients[],4,FALSE))</f>
        <v/>
      </c>
      <c r="H235" s="761" t="str">
        <f>IF(C235="","",VLOOKUP(C235,Table_ingredients[],5,FALSE))</f>
        <v/>
      </c>
      <c r="I235" s="761" t="str">
        <f>IF(C235="","",VLOOKUP(C235,Table_ingredients[],6,FALSE))</f>
        <v/>
      </c>
      <c r="J235" s="761" t="str">
        <f>IF(C235="","",VLOOKUP(C235,Table_ingredients[],7,FALSE))</f>
        <v/>
      </c>
      <c r="K235" s="761" t="str">
        <f>IF(C235="","",VLOOKUP(C235,Table_ingredients[],8,FALSE))</f>
        <v/>
      </c>
      <c r="L235" s="474" t="str">
        <f>IF(C235="","",VLOOKUP(C235,Table_ingredients[],9,FALSE))</f>
        <v/>
      </c>
      <c r="M235" s="772" t="str">
        <f>IF(C235="","",VLOOKUP(C235,Table_ingredients[],10,FALSE))</f>
        <v/>
      </c>
      <c r="N235" s="767" t="str">
        <f>IF(C235="","",VLOOKUP(C235,Table_ingredients[],12,FALSE))</f>
        <v/>
      </c>
      <c r="O235" s="472" t="str">
        <f t="shared" si="55"/>
        <v>No</v>
      </c>
      <c r="P235" s="471">
        <f t="shared" si="52"/>
        <v>0</v>
      </c>
      <c r="Q235" s="475" t="str">
        <f>IF(C235="","",VLOOKUP(C235,Table_ingredients[],13,FALSE))</f>
        <v/>
      </c>
      <c r="R235" s="471">
        <f t="shared" si="53"/>
        <v>0</v>
      </c>
      <c r="S235" s="104"/>
      <c r="T235" s="120">
        <f t="shared" si="54"/>
        <v>0</v>
      </c>
      <c r="V235" s="59" t="s">
        <v>634</v>
      </c>
      <c r="W235" s="46">
        <v>0.6</v>
      </c>
      <c r="X235" s="46">
        <v>0.15</v>
      </c>
      <c r="Y235" s="46">
        <v>0.19</v>
      </c>
      <c r="Z235" s="46">
        <v>2E-3</v>
      </c>
      <c r="AA235" s="46">
        <v>0.06</v>
      </c>
      <c r="AB235" s="46">
        <v>0.02</v>
      </c>
      <c r="AC235" s="46">
        <v>0.08</v>
      </c>
      <c r="AD235" s="46">
        <v>9.6000000000000002E-2</v>
      </c>
      <c r="AE235" s="46">
        <v>0.92</v>
      </c>
      <c r="AF235" s="59" t="s">
        <v>1576</v>
      </c>
      <c r="AG235" s="59"/>
      <c r="AH235" s="59" t="s">
        <v>1635</v>
      </c>
    </row>
    <row r="236" spans="2:34" x14ac:dyDescent="0.25">
      <c r="B236" s="13" t="s">
        <v>517</v>
      </c>
      <c r="C236" s="764"/>
      <c r="D236" s="773"/>
      <c r="E236" s="761" t="str">
        <f>IF(C236="","",VLOOKUP(C236,Table_ingredients[],2,FALSE))</f>
        <v/>
      </c>
      <c r="F236" s="761" t="str">
        <f>IF(C236="","",VLOOKUP(C236,Table_ingredients[],3,FALSE))</f>
        <v/>
      </c>
      <c r="G236" s="761" t="str">
        <f>IF(C236="","",VLOOKUP(C236,Table_ingredients[],4,FALSE))</f>
        <v/>
      </c>
      <c r="H236" s="761" t="str">
        <f>IF(C236="","",VLOOKUP(C236,Table_ingredients[],5,FALSE))</f>
        <v/>
      </c>
      <c r="I236" s="761" t="str">
        <f>IF(C236="","",VLOOKUP(C236,Table_ingredients[],6,FALSE))</f>
        <v/>
      </c>
      <c r="J236" s="761" t="str">
        <f>IF(C236="","",VLOOKUP(C236,Table_ingredients[],7,FALSE))</f>
        <v/>
      </c>
      <c r="K236" s="761" t="str">
        <f>IF(C236="","",VLOOKUP(C236,Table_ingredients[],8,FALSE))</f>
        <v/>
      </c>
      <c r="L236" s="474" t="str">
        <f>IF(C236="","",VLOOKUP(C236,Table_ingredients[],9,FALSE))</f>
        <v/>
      </c>
      <c r="M236" s="772" t="str">
        <f>IF(C236="","",VLOOKUP(C236,Table_ingredients[],10,FALSE))</f>
        <v/>
      </c>
      <c r="N236" s="767" t="str">
        <f>IF(C236="","",VLOOKUP(C236,Table_ingredients[],12,FALSE))</f>
        <v/>
      </c>
      <c r="O236" s="472" t="str">
        <f t="shared" si="55"/>
        <v>No</v>
      </c>
      <c r="P236" s="471">
        <f t="shared" si="52"/>
        <v>0</v>
      </c>
      <c r="Q236" s="475" t="str">
        <f>IF(C236="","",VLOOKUP(C236,Table_ingredients[],13,FALSE))</f>
        <v/>
      </c>
      <c r="R236" s="471">
        <f t="shared" si="53"/>
        <v>0</v>
      </c>
      <c r="S236" s="104"/>
      <c r="T236" s="120">
        <f t="shared" si="54"/>
        <v>0</v>
      </c>
      <c r="V236" s="59" t="s">
        <v>624</v>
      </c>
      <c r="W236" s="46">
        <v>0.316</v>
      </c>
      <c r="X236" s="46">
        <v>6.2E-2</v>
      </c>
      <c r="Y236" s="46">
        <v>0.52900000000000003</v>
      </c>
      <c r="Z236" s="46">
        <v>5.0000000000000001E-3</v>
      </c>
      <c r="AA236" s="46">
        <v>9.3000000000000013E-2</v>
      </c>
      <c r="AB236" s="46">
        <v>5.4000000000000003E-3</v>
      </c>
      <c r="AC236" s="46">
        <v>0.499</v>
      </c>
      <c r="AD236" s="46">
        <v>5.0560000000000001E-2</v>
      </c>
      <c r="AE236" s="46">
        <v>0.501</v>
      </c>
      <c r="AF236" s="59" t="s">
        <v>1576</v>
      </c>
      <c r="AG236" s="59"/>
      <c r="AH236" s="59" t="s">
        <v>1635</v>
      </c>
    </row>
    <row r="237" spans="2:34" x14ac:dyDescent="0.25">
      <c r="B237" s="13" t="s">
        <v>518</v>
      </c>
      <c r="C237" s="764"/>
      <c r="D237" s="773"/>
      <c r="E237" s="761" t="str">
        <f>IF(C237="","",VLOOKUP(C237,Table_ingredients[],2,FALSE))</f>
        <v/>
      </c>
      <c r="F237" s="761" t="str">
        <f>IF(C237="","",VLOOKUP(C237,Table_ingredients[],3,FALSE))</f>
        <v/>
      </c>
      <c r="G237" s="761" t="str">
        <f>IF(C237="","",VLOOKUP(C237,Table_ingredients[],4,FALSE))</f>
        <v/>
      </c>
      <c r="H237" s="761" t="str">
        <f>IF(C237="","",VLOOKUP(C237,Table_ingredients[],5,FALSE))</f>
        <v/>
      </c>
      <c r="I237" s="761" t="str">
        <f>IF(C237="","",VLOOKUP(C237,Table_ingredients[],6,FALSE))</f>
        <v/>
      </c>
      <c r="J237" s="761" t="str">
        <f>IF(C237="","",VLOOKUP(C237,Table_ingredients[],7,FALSE))</f>
        <v/>
      </c>
      <c r="K237" s="761" t="str">
        <f>IF(C237="","",VLOOKUP(C237,Table_ingredients[],8,FALSE))</f>
        <v/>
      </c>
      <c r="L237" s="474" t="str">
        <f>IF(C237="","",VLOOKUP(C237,Table_ingredients[],9,FALSE))</f>
        <v/>
      </c>
      <c r="M237" s="772" t="str">
        <f>IF(C237="","",VLOOKUP(C237,Table_ingredients[],10,FALSE))</f>
        <v/>
      </c>
      <c r="N237" s="767" t="str">
        <f>IF(C237="","",VLOOKUP(C237,Table_ingredients[],12,FALSE))</f>
        <v/>
      </c>
      <c r="O237" s="472" t="str">
        <f t="shared" si="55"/>
        <v>No</v>
      </c>
      <c r="P237" s="471">
        <f t="shared" si="52"/>
        <v>0</v>
      </c>
      <c r="Q237" s="475" t="str">
        <f>IF(C237="","",VLOOKUP(C237,Table_ingredients[],13,FALSE))</f>
        <v/>
      </c>
      <c r="R237" s="471">
        <f t="shared" si="53"/>
        <v>0</v>
      </c>
      <c r="S237" s="104"/>
      <c r="T237" s="120">
        <f t="shared" si="54"/>
        <v>0</v>
      </c>
      <c r="V237" s="59" t="s">
        <v>628</v>
      </c>
      <c r="W237" s="46">
        <v>0.4</v>
      </c>
      <c r="X237" s="46">
        <v>0.06</v>
      </c>
      <c r="Y237" s="46">
        <v>0.41499999999999998</v>
      </c>
      <c r="Z237" s="46">
        <v>5.5E-2</v>
      </c>
      <c r="AA237" s="46">
        <v>0.125</v>
      </c>
      <c r="AB237" s="46">
        <v>1.1000000000000001E-2</v>
      </c>
      <c r="AC237" s="46">
        <v>7.0000000000000007E-2</v>
      </c>
      <c r="AD237" s="46">
        <v>6.4000000000000001E-2</v>
      </c>
      <c r="AE237" s="46">
        <v>0.93</v>
      </c>
      <c r="AF237" s="59" t="s">
        <v>1576</v>
      </c>
      <c r="AG237" s="59"/>
      <c r="AH237" s="59" t="s">
        <v>1635</v>
      </c>
    </row>
    <row r="238" spans="2:34" x14ac:dyDescent="0.25">
      <c r="B238" s="13" t="s">
        <v>520</v>
      </c>
      <c r="C238" s="764"/>
      <c r="D238" s="773"/>
      <c r="E238" s="761" t="str">
        <f>IF(C238="","",VLOOKUP(C238,Table_ingredients[],2,FALSE))</f>
        <v/>
      </c>
      <c r="F238" s="761" t="str">
        <f>IF(C238="","",VLOOKUP(C238,Table_ingredients[],3,FALSE))</f>
        <v/>
      </c>
      <c r="G238" s="761" t="str">
        <f>IF(C238="","",VLOOKUP(C238,Table_ingredients[],4,FALSE))</f>
        <v/>
      </c>
      <c r="H238" s="761" t="str">
        <f>IF(C238="","",VLOOKUP(C238,Table_ingredients[],5,FALSE))</f>
        <v/>
      </c>
      <c r="I238" s="761" t="str">
        <f>IF(C238="","",VLOOKUP(C238,Table_ingredients[],6,FALSE))</f>
        <v/>
      </c>
      <c r="J238" s="761" t="str">
        <f>IF(C238="","",VLOOKUP(C238,Table_ingredients[],7,FALSE))</f>
        <v/>
      </c>
      <c r="K238" s="761" t="str">
        <f>IF(C238="","",VLOOKUP(C238,Table_ingredients[],8,FALSE))</f>
        <v/>
      </c>
      <c r="L238" s="474" t="str">
        <f>IF(C238="","",VLOOKUP(C238,Table_ingredients[],9,FALSE))</f>
        <v/>
      </c>
      <c r="M238" s="772" t="str">
        <f>IF(C238="","",VLOOKUP(C238,Table_ingredients[],10,FALSE))</f>
        <v/>
      </c>
      <c r="N238" s="767" t="str">
        <f>IF(C238="","",VLOOKUP(C238,Table_ingredients[],12,FALSE))</f>
        <v/>
      </c>
      <c r="O238" s="472" t="str">
        <f t="shared" si="55"/>
        <v>No</v>
      </c>
      <c r="P238" s="471">
        <f t="shared" si="52"/>
        <v>0</v>
      </c>
      <c r="Q238" s="475" t="str">
        <f>IF(C238="","",VLOOKUP(C238,Table_ingredients[],13,FALSE))</f>
        <v/>
      </c>
      <c r="R238" s="471">
        <f t="shared" si="53"/>
        <v>0</v>
      </c>
      <c r="S238" s="104"/>
      <c r="T238" s="120">
        <f t="shared" si="54"/>
        <v>0</v>
      </c>
      <c r="V238" s="59" t="s">
        <v>627</v>
      </c>
      <c r="W238" s="46">
        <v>0.44500000000000001</v>
      </c>
      <c r="X238" s="46">
        <v>6.4000000000000001E-2</v>
      </c>
      <c r="Y238" s="46">
        <v>0.373</v>
      </c>
      <c r="Z238" s="46">
        <v>3.7999999999999999E-2</v>
      </c>
      <c r="AA238" s="46">
        <v>0.11800000000000001</v>
      </c>
      <c r="AB238" s="46">
        <v>1.4999999999999999E-2</v>
      </c>
      <c r="AC238" s="46">
        <v>3.4000000000000058E-2</v>
      </c>
      <c r="AD238" s="46">
        <v>7.1199999999999999E-2</v>
      </c>
      <c r="AE238" s="46">
        <v>0.96599999999999997</v>
      </c>
      <c r="AF238" s="59" t="s">
        <v>1576</v>
      </c>
      <c r="AG238" s="59"/>
      <c r="AH238" s="59" t="s">
        <v>1635</v>
      </c>
    </row>
    <row r="239" spans="2:34" x14ac:dyDescent="0.25">
      <c r="B239" s="13" t="s">
        <v>521</v>
      </c>
      <c r="C239" s="764"/>
      <c r="D239" s="774"/>
      <c r="E239" s="761" t="str">
        <f>IF(C239="","",VLOOKUP(C239,Table_ingredients[],2,FALSE))</f>
        <v/>
      </c>
      <c r="F239" s="761" t="str">
        <f>IF(C239="","",VLOOKUP(C239,Table_ingredients[],3,FALSE))</f>
        <v/>
      </c>
      <c r="G239" s="761" t="str">
        <f>IF(C239="","",VLOOKUP(C239,Table_ingredients[],4,FALSE))</f>
        <v/>
      </c>
      <c r="H239" s="761" t="str">
        <f>IF(C239="","",VLOOKUP(C239,Table_ingredients[],5,FALSE))</f>
        <v/>
      </c>
      <c r="I239" s="761" t="str">
        <f>IF(C239="","",VLOOKUP(C239,Table_ingredients[],6,FALSE))</f>
        <v/>
      </c>
      <c r="J239" s="761" t="str">
        <f>IF(C239="","",VLOOKUP(C239,Table_ingredients[],7,FALSE))</f>
        <v/>
      </c>
      <c r="K239" s="761" t="str">
        <f>IF(C239="","",VLOOKUP(C239,Table_ingredients[],8,FALSE))</f>
        <v/>
      </c>
      <c r="L239" s="474" t="str">
        <f>IF(C239="","",VLOOKUP(C239,Table_ingredients[],9,FALSE))</f>
        <v/>
      </c>
      <c r="M239" s="772" t="str">
        <f>IF(C239="","",VLOOKUP(C239,Table_ingredients[],10,FALSE))</f>
        <v/>
      </c>
      <c r="N239" s="767" t="str">
        <f>IF(C239="","",VLOOKUP(C239,Table_ingredients[],12,FALSE))</f>
        <v/>
      </c>
      <c r="O239" s="472" t="str">
        <f t="shared" si="55"/>
        <v>No</v>
      </c>
      <c r="P239" s="471">
        <f t="shared" si="52"/>
        <v>0</v>
      </c>
      <c r="Q239" s="475" t="str">
        <f>IF(C239="","",VLOOKUP(C239,Table_ingredients[],13,FALSE))</f>
        <v/>
      </c>
      <c r="R239" s="471">
        <f t="shared" si="53"/>
        <v>0</v>
      </c>
      <c r="S239" s="104"/>
      <c r="T239" s="120">
        <f t="shared" si="54"/>
        <v>0</v>
      </c>
      <c r="V239" s="59" t="s">
        <v>626</v>
      </c>
      <c r="W239" s="46">
        <v>0.55899999999999994</v>
      </c>
      <c r="X239" s="46">
        <v>6.5000000000000002E-2</v>
      </c>
      <c r="Y239" s="46">
        <v>0.25</v>
      </c>
      <c r="Z239" s="46">
        <v>3.2000000000000001E-2</v>
      </c>
      <c r="AA239" s="46">
        <v>0.126</v>
      </c>
      <c r="AB239" s="46">
        <v>1.1000000000000001E-2</v>
      </c>
      <c r="AC239" s="46">
        <v>7.4000000000000052E-2</v>
      </c>
      <c r="AD239" s="46">
        <v>8.9439999999999992E-2</v>
      </c>
      <c r="AE239" s="46">
        <v>0.92599999999999993</v>
      </c>
      <c r="AF239" s="59" t="s">
        <v>1576</v>
      </c>
      <c r="AG239" s="59"/>
      <c r="AH239" s="59" t="s">
        <v>1635</v>
      </c>
    </row>
    <row r="240" spans="2:34" x14ac:dyDescent="0.25">
      <c r="B240" s="13" t="s">
        <v>522</v>
      </c>
      <c r="C240" s="764"/>
      <c r="D240" s="774"/>
      <c r="E240" s="761" t="str">
        <f>IF(C240="","",VLOOKUP(C240,Table_ingredients[],2,FALSE))</f>
        <v/>
      </c>
      <c r="F240" s="761" t="str">
        <f>IF(C240="","",VLOOKUP(C240,Table_ingredients[],3,FALSE))</f>
        <v/>
      </c>
      <c r="G240" s="761" t="str">
        <f>IF(C240="","",VLOOKUP(C240,Table_ingredients[],4,FALSE))</f>
        <v/>
      </c>
      <c r="H240" s="761" t="str">
        <f>IF(C240="","",VLOOKUP(C240,Table_ingredients[],5,FALSE))</f>
        <v/>
      </c>
      <c r="I240" s="761" t="str">
        <f>IF(C240="","",VLOOKUP(C240,Table_ingredients[],6,FALSE))</f>
        <v/>
      </c>
      <c r="J240" s="761" t="str">
        <f>IF(C240="","",VLOOKUP(C240,Table_ingredients[],7,FALSE))</f>
        <v/>
      </c>
      <c r="K240" s="761" t="str">
        <f>IF(C240="","",VLOOKUP(C240,Table_ingredients[],8,FALSE))</f>
        <v/>
      </c>
      <c r="L240" s="474" t="str">
        <f>IF(C240="","",VLOOKUP(C240,Table_ingredients[],9,FALSE))</f>
        <v/>
      </c>
      <c r="M240" s="772" t="str">
        <f>IF(C240="","",VLOOKUP(C240,Table_ingredients[],10,FALSE))</f>
        <v/>
      </c>
      <c r="N240" s="767" t="str">
        <f>IF(C240="","",VLOOKUP(C240,Table_ingredients[],12,FALSE))</f>
        <v/>
      </c>
      <c r="O240" s="472" t="str">
        <f t="shared" si="55"/>
        <v>No</v>
      </c>
      <c r="P240" s="471">
        <f t="shared" si="52"/>
        <v>0</v>
      </c>
      <c r="Q240" s="475" t="str">
        <f>IF(C240="","",VLOOKUP(C240,Table_ingredients[],13,FALSE))</f>
        <v/>
      </c>
      <c r="R240" s="471">
        <f t="shared" si="53"/>
        <v>0</v>
      </c>
      <c r="S240" s="104"/>
      <c r="T240" s="120">
        <f t="shared" si="54"/>
        <v>0</v>
      </c>
      <c r="V240" s="59" t="s">
        <v>625</v>
      </c>
      <c r="W240" s="46">
        <v>0.64200000000000002</v>
      </c>
      <c r="X240" s="46">
        <v>8.199999999999999E-2</v>
      </c>
      <c r="Y240" s="46">
        <v>0.22599999999999998</v>
      </c>
      <c r="Z240" s="46">
        <v>1.3000000000000001E-2</v>
      </c>
      <c r="AA240" s="46">
        <v>0.05</v>
      </c>
      <c r="AB240" s="46">
        <v>1.4199999999999999E-2</v>
      </c>
      <c r="AC240" s="46">
        <v>7.0000000000000007E-2</v>
      </c>
      <c r="AD240" s="46">
        <v>0.10272000000000001</v>
      </c>
      <c r="AE240" s="46">
        <v>0.93</v>
      </c>
      <c r="AF240" s="59" t="s">
        <v>1576</v>
      </c>
      <c r="AG240" s="59"/>
      <c r="AH240" s="59" t="s">
        <v>1635</v>
      </c>
    </row>
    <row r="241" spans="2:34" x14ac:dyDescent="0.25">
      <c r="B241" s="13" t="s">
        <v>523</v>
      </c>
      <c r="C241" s="764"/>
      <c r="D241" s="774"/>
      <c r="E241" s="761" t="str">
        <f>IF(C241="","",VLOOKUP(C241,Table_ingredients[],2,FALSE))</f>
        <v/>
      </c>
      <c r="F241" s="761" t="str">
        <f>IF(C241="","",VLOOKUP(C241,Table_ingredients[],3,FALSE))</f>
        <v/>
      </c>
      <c r="G241" s="761" t="str">
        <f>IF(C241="","",VLOOKUP(C241,Table_ingredients[],4,FALSE))</f>
        <v/>
      </c>
      <c r="H241" s="761" t="str">
        <f>IF(C241="","",VLOOKUP(C241,Table_ingredients[],5,FALSE))</f>
        <v/>
      </c>
      <c r="I241" s="761" t="str">
        <f>IF(C241="","",VLOOKUP(C241,Table_ingredients[],6,FALSE))</f>
        <v/>
      </c>
      <c r="J241" s="761" t="str">
        <f>IF(C241="","",VLOOKUP(C241,Table_ingredients[],7,FALSE))</f>
        <v/>
      </c>
      <c r="K241" s="761" t="str">
        <f>IF(C241="","",VLOOKUP(C241,Table_ingredients[],8,FALSE))</f>
        <v/>
      </c>
      <c r="L241" s="474" t="str">
        <f>IF(C241="","",VLOOKUP(C241,Table_ingredients[],9,FALSE))</f>
        <v/>
      </c>
      <c r="M241" s="772" t="str">
        <f>IF(C241="","",VLOOKUP(C241,Table_ingredients[],10,FALSE))</f>
        <v/>
      </c>
      <c r="N241" s="767" t="str">
        <f>IF(C241="","",VLOOKUP(C241,Table_ingredients[],12,FALSE))</f>
        <v/>
      </c>
      <c r="O241" s="472" t="str">
        <f t="shared" si="55"/>
        <v>No</v>
      </c>
      <c r="P241" s="471">
        <f t="shared" si="52"/>
        <v>0</v>
      </c>
      <c r="Q241" s="475" t="str">
        <f>IF(C241="","",VLOOKUP(C241,Table_ingredients[],13,FALSE))</f>
        <v/>
      </c>
      <c r="R241" s="471">
        <f t="shared" si="53"/>
        <v>0</v>
      </c>
      <c r="S241" s="104"/>
      <c r="T241" s="120">
        <f t="shared" si="54"/>
        <v>0</v>
      </c>
      <c r="V241" s="59" t="s">
        <v>1706</v>
      </c>
      <c r="W241" s="46">
        <v>0.85799999999999998</v>
      </c>
      <c r="X241" s="46">
        <v>3.5000000000000003E-2</v>
      </c>
      <c r="Y241" s="46">
        <v>7.7000000000000027E-2</v>
      </c>
      <c r="Z241" s="46">
        <v>0</v>
      </c>
      <c r="AA241" s="46">
        <v>0.03</v>
      </c>
      <c r="AB241" s="46">
        <v>6.9999999999999993E-3</v>
      </c>
      <c r="AC241" s="46">
        <v>7.0000000000000007E-2</v>
      </c>
      <c r="AD241" s="46">
        <v>0.13727999999999999</v>
      </c>
      <c r="AE241" s="46">
        <v>0.93</v>
      </c>
      <c r="AF241" s="59" t="s">
        <v>526</v>
      </c>
      <c r="AG241" s="59"/>
      <c r="AH241" s="59" t="s">
        <v>1635</v>
      </c>
    </row>
    <row r="242" spans="2:34" x14ac:dyDescent="0.25">
      <c r="B242" s="13" t="s">
        <v>1057</v>
      </c>
      <c r="C242" s="764"/>
      <c r="D242" s="774"/>
      <c r="E242" s="761" t="str">
        <f>IF(C242="","",VLOOKUP(C242,Table_ingredients[],2,FALSE))</f>
        <v/>
      </c>
      <c r="F242" s="761" t="str">
        <f>IF(C242="","",VLOOKUP(C242,Table_ingredients[],3,FALSE))</f>
        <v/>
      </c>
      <c r="G242" s="761" t="str">
        <f>IF(C242="","",VLOOKUP(C242,Table_ingredients[],4,FALSE))</f>
        <v/>
      </c>
      <c r="H242" s="761" t="str">
        <f>IF(C242="","",VLOOKUP(C242,Table_ingredients[],5,FALSE))</f>
        <v/>
      </c>
      <c r="I242" s="761" t="str">
        <f>IF(C242="","",VLOOKUP(C242,Table_ingredients[],6,FALSE))</f>
        <v/>
      </c>
      <c r="J242" s="761" t="str">
        <f>IF(C242="","",VLOOKUP(C242,Table_ingredients[],7,FALSE))</f>
        <v/>
      </c>
      <c r="K242" s="761" t="str">
        <f>IF(C242="","",VLOOKUP(C242,Table_ingredients[],8,FALSE))</f>
        <v/>
      </c>
      <c r="L242" s="474" t="str">
        <f>IF(C242="","",VLOOKUP(C242,Table_ingredients[],9,FALSE))</f>
        <v/>
      </c>
      <c r="M242" s="772" t="str">
        <f>IF(C242="","",VLOOKUP(C242,Table_ingredients[],10,FALSE))</f>
        <v/>
      </c>
      <c r="N242" s="767" t="str">
        <f>IF(C242="","",VLOOKUP(C242,Table_ingredients[],12,FALSE))</f>
        <v/>
      </c>
      <c r="O242" s="472" t="str">
        <f t="shared" si="55"/>
        <v>No</v>
      </c>
      <c r="P242" s="471">
        <f t="shared" si="52"/>
        <v>0</v>
      </c>
      <c r="Q242" s="475" t="str">
        <f>IF(C242="","",VLOOKUP(C242,Table_ingredients[],13,FALSE))</f>
        <v/>
      </c>
      <c r="R242" s="471">
        <f t="shared" si="53"/>
        <v>0</v>
      </c>
      <c r="S242" s="104"/>
      <c r="T242" s="120">
        <f t="shared" si="54"/>
        <v>0</v>
      </c>
      <c r="V242" s="59" t="s">
        <v>1707</v>
      </c>
      <c r="W242" s="46">
        <v>0.45299999999999996</v>
      </c>
      <c r="X242" s="46">
        <v>1.9E-2</v>
      </c>
      <c r="Y242" s="46">
        <v>0.46400000000000008</v>
      </c>
      <c r="Z242" s="46">
        <v>0.25280000000000002</v>
      </c>
      <c r="AA242" s="46">
        <v>6.4000000000000001E-2</v>
      </c>
      <c r="AB242" s="46">
        <v>6.1999999999999998E-3</v>
      </c>
      <c r="AC242" s="46">
        <v>0.12200000000000003</v>
      </c>
      <c r="AD242" s="46">
        <v>7.2479999999999989E-2</v>
      </c>
      <c r="AE242" s="46">
        <v>0.878</v>
      </c>
      <c r="AF242" s="59" t="s">
        <v>526</v>
      </c>
      <c r="AG242" s="59"/>
      <c r="AH242" s="59" t="s">
        <v>1635</v>
      </c>
    </row>
    <row r="243" spans="2:34" x14ac:dyDescent="0.25">
      <c r="B243" s="13" t="s">
        <v>1058</v>
      </c>
      <c r="C243" s="764"/>
      <c r="D243" s="774"/>
      <c r="E243" s="761" t="str">
        <f>IF(C243="","",VLOOKUP(C243,Table_ingredients[],2,FALSE))</f>
        <v/>
      </c>
      <c r="F243" s="761" t="str">
        <f>IF(C243="","",VLOOKUP(C243,Table_ingredients[],3,FALSE))</f>
        <v/>
      </c>
      <c r="G243" s="761" t="str">
        <f>IF(C243="","",VLOOKUP(C243,Table_ingredients[],4,FALSE))</f>
        <v/>
      </c>
      <c r="H243" s="761" t="str">
        <f>IF(C243="","",VLOOKUP(C243,Table_ingredients[],5,FALSE))</f>
        <v/>
      </c>
      <c r="I243" s="761" t="str">
        <f>IF(C243="","",VLOOKUP(C243,Table_ingredients[],6,FALSE))</f>
        <v/>
      </c>
      <c r="J243" s="761" t="str">
        <f>IF(C243="","",VLOOKUP(C243,Table_ingredients[],7,FALSE))</f>
        <v/>
      </c>
      <c r="K243" s="761" t="str">
        <f>IF(C243="","",VLOOKUP(C243,Table_ingredients[],8,FALSE))</f>
        <v/>
      </c>
      <c r="L243" s="474" t="str">
        <f>IF(C243="","",VLOOKUP(C243,Table_ingredients[],9,FALSE))</f>
        <v/>
      </c>
      <c r="M243" s="772" t="str">
        <f>IF(C243="","",VLOOKUP(C243,Table_ingredients[],10,FALSE))</f>
        <v/>
      </c>
      <c r="N243" s="767" t="str">
        <f>IF(C243="","",VLOOKUP(C243,Table_ingredients[],12,FALSE))</f>
        <v/>
      </c>
      <c r="O243" s="472" t="str">
        <f t="shared" si="55"/>
        <v>No</v>
      </c>
      <c r="P243" s="471">
        <f t="shared" si="52"/>
        <v>0</v>
      </c>
      <c r="Q243" s="475" t="str">
        <f>IF(C243="","",VLOOKUP(C243,Table_ingredients[],13,FALSE))</f>
        <v/>
      </c>
      <c r="R243" s="471">
        <f t="shared" si="53"/>
        <v>0</v>
      </c>
      <c r="S243" s="104"/>
      <c r="T243" s="120">
        <f t="shared" si="54"/>
        <v>0</v>
      </c>
      <c r="V243" s="59" t="s">
        <v>672</v>
      </c>
      <c r="W243" s="46">
        <v>0.92200000000000004</v>
      </c>
      <c r="X243" s="46">
        <v>2E-3</v>
      </c>
      <c r="Y243" s="46">
        <v>7.0999999999999966E-2</v>
      </c>
      <c r="Z243" s="46">
        <v>0</v>
      </c>
      <c r="AA243" s="46">
        <v>5.0000000000000001E-3</v>
      </c>
      <c r="AB243" s="46">
        <v>3.3E-3</v>
      </c>
      <c r="AC243" s="46">
        <v>7.0000000000000007E-2</v>
      </c>
      <c r="AD243" s="46">
        <v>0.14752000000000001</v>
      </c>
      <c r="AE243" s="46">
        <v>0.93</v>
      </c>
      <c r="AF243" s="59" t="s">
        <v>1576</v>
      </c>
      <c r="AG243" s="59"/>
      <c r="AH243" s="59" t="s">
        <v>1635</v>
      </c>
    </row>
    <row r="244" spans="2:34" x14ac:dyDescent="0.25">
      <c r="B244" s="13" t="s">
        <v>1059</v>
      </c>
      <c r="C244" s="764"/>
      <c r="D244" s="774"/>
      <c r="E244" s="761" t="str">
        <f>IF(C244="","",VLOOKUP(C244,Table_ingredients[],2,FALSE))</f>
        <v/>
      </c>
      <c r="F244" s="761" t="str">
        <f>IF(C244="","",VLOOKUP(C244,Table_ingredients[],3,FALSE))</f>
        <v/>
      </c>
      <c r="G244" s="761" t="str">
        <f>IF(C244="","",VLOOKUP(C244,Table_ingredients[],4,FALSE))</f>
        <v/>
      </c>
      <c r="H244" s="761" t="str">
        <f>IF(C244="","",VLOOKUP(C244,Table_ingredients[],5,FALSE))</f>
        <v/>
      </c>
      <c r="I244" s="761" t="str">
        <f>IF(C244="","",VLOOKUP(C244,Table_ingredients[],6,FALSE))</f>
        <v/>
      </c>
      <c r="J244" s="761" t="str">
        <f>IF(C244="","",VLOOKUP(C244,Table_ingredients[],7,FALSE))</f>
        <v/>
      </c>
      <c r="K244" s="761" t="str">
        <f>IF(C244="","",VLOOKUP(C244,Table_ingredients[],8,FALSE))</f>
        <v/>
      </c>
      <c r="L244" s="474" t="str">
        <f>IF(C244="","",VLOOKUP(C244,Table_ingredients[],9,FALSE))</f>
        <v/>
      </c>
      <c r="M244" s="772" t="str">
        <f>IF(C244="","",VLOOKUP(C244,Table_ingredients[],10,FALSE))</f>
        <v/>
      </c>
      <c r="N244" s="767" t="str">
        <f>IF(C244="","",VLOOKUP(C244,Table_ingredients[],12,FALSE))</f>
        <v/>
      </c>
      <c r="O244" s="472" t="str">
        <f t="shared" si="55"/>
        <v>No</v>
      </c>
      <c r="P244" s="471">
        <f t="shared" si="52"/>
        <v>0</v>
      </c>
      <c r="Q244" s="475" t="str">
        <f>IF(C244="","",VLOOKUP(C244,Table_ingredients[],13,FALSE))</f>
        <v/>
      </c>
      <c r="R244" s="471">
        <f t="shared" si="53"/>
        <v>0</v>
      </c>
      <c r="S244" s="104"/>
      <c r="T244" s="120">
        <f t="shared" si="54"/>
        <v>0</v>
      </c>
      <c r="V244" s="59" t="s">
        <v>944</v>
      </c>
      <c r="W244" s="46">
        <v>2E-3</v>
      </c>
      <c r="X244" s="46">
        <v>0.01</v>
      </c>
      <c r="Y244" s="46">
        <v>0.96799999999999997</v>
      </c>
      <c r="Z244" s="46">
        <v>0</v>
      </c>
      <c r="AA244" s="46">
        <v>0.02</v>
      </c>
      <c r="AB244" s="46">
        <v>0</v>
      </c>
      <c r="AC244" s="46">
        <v>0.09</v>
      </c>
      <c r="AD244" s="46">
        <v>3.2000000000000003E-4</v>
      </c>
      <c r="AE244" s="46">
        <v>0.91</v>
      </c>
      <c r="AF244" s="59" t="s">
        <v>1576</v>
      </c>
      <c r="AG244" s="59"/>
      <c r="AH244" s="59" t="s">
        <v>1635</v>
      </c>
    </row>
    <row r="245" spans="2:34" x14ac:dyDescent="0.25">
      <c r="B245" s="13" t="s">
        <v>1060</v>
      </c>
      <c r="C245" s="764"/>
      <c r="D245" s="774"/>
      <c r="E245" s="761" t="str">
        <f>IF(C245="","",VLOOKUP(C245,Table_ingredients[],2,FALSE))</f>
        <v/>
      </c>
      <c r="F245" s="761" t="str">
        <f>IF(C245="","",VLOOKUP(C245,Table_ingredients[],3,FALSE))</f>
        <v/>
      </c>
      <c r="G245" s="761" t="str">
        <f>IF(C245="","",VLOOKUP(C245,Table_ingredients[],4,FALSE))</f>
        <v/>
      </c>
      <c r="H245" s="761" t="str">
        <f>IF(C245="","",VLOOKUP(C245,Table_ingredients[],5,FALSE))</f>
        <v/>
      </c>
      <c r="I245" s="761" t="str">
        <f>IF(C245="","",VLOOKUP(C245,Table_ingredients[],6,FALSE))</f>
        <v/>
      </c>
      <c r="J245" s="761" t="str">
        <f>IF(C245="","",VLOOKUP(C245,Table_ingredients[],7,FALSE))</f>
        <v/>
      </c>
      <c r="K245" s="761" t="str">
        <f>IF(C245="","",VLOOKUP(C245,Table_ingredients[],8,FALSE))</f>
        <v/>
      </c>
      <c r="L245" s="474" t="str">
        <f>IF(C245="","",VLOOKUP(C245,Table_ingredients[],9,FALSE))</f>
        <v/>
      </c>
      <c r="M245" s="772" t="str">
        <f>IF(C245="","",VLOOKUP(C245,Table_ingredients[],10,FALSE))</f>
        <v/>
      </c>
      <c r="N245" s="767" t="str">
        <f>IF(C245="","",VLOOKUP(C245,Table_ingredients[],12,FALSE))</f>
        <v/>
      </c>
      <c r="O245" s="472" t="str">
        <f t="shared" si="55"/>
        <v>No</v>
      </c>
      <c r="P245" s="471">
        <f t="shared" si="52"/>
        <v>0</v>
      </c>
      <c r="Q245" s="475" t="str">
        <f>IF(C245="","",VLOOKUP(C245,Table_ingredients[],13,FALSE))</f>
        <v/>
      </c>
      <c r="R245" s="471">
        <f t="shared" si="53"/>
        <v>0</v>
      </c>
      <c r="S245" s="104"/>
      <c r="T245" s="120">
        <f t="shared" si="54"/>
        <v>0</v>
      </c>
      <c r="V245" s="59" t="s">
        <v>1018</v>
      </c>
      <c r="W245" s="46">
        <v>0.05</v>
      </c>
      <c r="X245" s="46">
        <v>0</v>
      </c>
      <c r="Y245" s="46">
        <v>0.94</v>
      </c>
      <c r="Z245" s="46">
        <v>0.02</v>
      </c>
      <c r="AA245" s="46">
        <v>0.01</v>
      </c>
      <c r="AB245" s="46">
        <v>0</v>
      </c>
      <c r="AC245" s="46">
        <v>0.05</v>
      </c>
      <c r="AD245" s="46">
        <v>8.0000000000000002E-3</v>
      </c>
      <c r="AE245" s="46">
        <v>0.95</v>
      </c>
      <c r="AF245" s="59" t="s">
        <v>1576</v>
      </c>
      <c r="AG245" s="59"/>
      <c r="AH245" s="59" t="s">
        <v>1635</v>
      </c>
    </row>
    <row r="246" spans="2:34" x14ac:dyDescent="0.25">
      <c r="B246" s="13" t="s">
        <v>1061</v>
      </c>
      <c r="C246" s="764"/>
      <c r="D246" s="774"/>
      <c r="E246" s="761" t="str">
        <f>IF(C246="","",VLOOKUP(C246,Table_ingredients[],2,FALSE))</f>
        <v/>
      </c>
      <c r="F246" s="761" t="str">
        <f>IF(C246="","",VLOOKUP(C246,Table_ingredients[],3,FALSE))</f>
        <v/>
      </c>
      <c r="G246" s="761" t="str">
        <f>IF(C246="","",VLOOKUP(C246,Table_ingredients[],4,FALSE))</f>
        <v/>
      </c>
      <c r="H246" s="761" t="str">
        <f>IF(C246="","",VLOOKUP(C246,Table_ingredients[],5,FALSE))</f>
        <v/>
      </c>
      <c r="I246" s="761" t="str">
        <f>IF(C246="","",VLOOKUP(C246,Table_ingredients[],6,FALSE))</f>
        <v/>
      </c>
      <c r="J246" s="761" t="str">
        <f>IF(C246="","",VLOOKUP(C246,Table_ingredients[],7,FALSE))</f>
        <v/>
      </c>
      <c r="K246" s="761" t="str">
        <f>IF(C246="","",VLOOKUP(C246,Table_ingredients[],8,FALSE))</f>
        <v/>
      </c>
      <c r="L246" s="474" t="str">
        <f>IF(C246="","",VLOOKUP(C246,Table_ingredients[],9,FALSE))</f>
        <v/>
      </c>
      <c r="M246" s="772" t="str">
        <f>IF(C246="","",VLOOKUP(C246,Table_ingredients[],10,FALSE))</f>
        <v/>
      </c>
      <c r="N246" s="767" t="str">
        <f>IF(C246="","",VLOOKUP(C246,Table_ingredients[],12,FALSE))</f>
        <v/>
      </c>
      <c r="O246" s="472" t="str">
        <f t="shared" si="55"/>
        <v>No</v>
      </c>
      <c r="P246" s="471">
        <f t="shared" si="52"/>
        <v>0</v>
      </c>
      <c r="Q246" s="475" t="str">
        <f>IF(C246="","",VLOOKUP(C246,Table_ingredients[],13,FALSE))</f>
        <v/>
      </c>
      <c r="R246" s="471">
        <f t="shared" si="53"/>
        <v>0</v>
      </c>
      <c r="S246" s="104"/>
      <c r="T246" s="120">
        <f t="shared" si="54"/>
        <v>0</v>
      </c>
      <c r="V246" s="59" t="s">
        <v>746</v>
      </c>
      <c r="W246" s="46">
        <v>0.39899999999999997</v>
      </c>
      <c r="X246" s="46">
        <v>0.05</v>
      </c>
      <c r="Y246" s="46">
        <v>0.496</v>
      </c>
      <c r="Z246" s="46">
        <v>0.121</v>
      </c>
      <c r="AA246" s="46">
        <v>5.5E-2</v>
      </c>
      <c r="AB246" s="46">
        <v>6.0999999999999999E-2</v>
      </c>
      <c r="AC246" s="46">
        <v>0.08</v>
      </c>
      <c r="AD246" s="46">
        <v>6.3839999999999994E-2</v>
      </c>
      <c r="AE246" s="46">
        <v>0.92</v>
      </c>
      <c r="AF246" s="59" t="s">
        <v>1576</v>
      </c>
      <c r="AG246" s="59"/>
      <c r="AH246" s="59" t="s">
        <v>1635</v>
      </c>
    </row>
    <row r="247" spans="2:34" ht="15.75" thickBot="1" x14ac:dyDescent="0.3">
      <c r="B247" s="16" t="s">
        <v>1062</v>
      </c>
      <c r="C247" s="765"/>
      <c r="D247" s="775"/>
      <c r="E247" s="776" t="str">
        <f>IF(C247="","",VLOOKUP(C247,Table_ingredients[],2,FALSE))</f>
        <v/>
      </c>
      <c r="F247" s="776" t="str">
        <f>IF(C247="","",VLOOKUP(C247,Table_ingredients[],3,FALSE))</f>
        <v/>
      </c>
      <c r="G247" s="776" t="str">
        <f>IF(C247="","",VLOOKUP(C247,Table_ingredients[],4,FALSE))</f>
        <v/>
      </c>
      <c r="H247" s="776" t="str">
        <f>IF(C247="","",VLOOKUP(C247,Table_ingredients[],5,FALSE))</f>
        <v/>
      </c>
      <c r="I247" s="776" t="str">
        <f>IF(C247="","",VLOOKUP(C247,Table_ingredients[],6,FALSE))</f>
        <v/>
      </c>
      <c r="J247" s="776" t="str">
        <f>IF(C247="","",VLOOKUP(C247,Table_ingredients[],7,FALSE))</f>
        <v/>
      </c>
      <c r="K247" s="776" t="str">
        <f>IF(C247="","",VLOOKUP(C247,Table_ingredients[],8,FALSE))</f>
        <v/>
      </c>
      <c r="L247" s="777" t="str">
        <f>IF(C247="","",VLOOKUP(C247,Table_ingredients[],9,FALSE))</f>
        <v/>
      </c>
      <c r="M247" s="778" t="str">
        <f>IF(C247="","",VLOOKUP(C247,Table_ingredients[],10,FALSE))</f>
        <v/>
      </c>
      <c r="N247" s="767" t="str">
        <f>IF(C247="","",VLOOKUP(C247,Table_ingredients[],12,FALSE))</f>
        <v/>
      </c>
      <c r="O247" s="479" t="str">
        <f t="shared" si="55"/>
        <v>No</v>
      </c>
      <c r="P247" s="478">
        <f t="shared" si="52"/>
        <v>0</v>
      </c>
      <c r="Q247" s="475" t="str">
        <f>IF(C247="","",VLOOKUP(C247,Table_ingredients[],13,FALSE))</f>
        <v/>
      </c>
      <c r="R247" s="478">
        <f t="shared" si="53"/>
        <v>0</v>
      </c>
      <c r="S247" s="477"/>
      <c r="T247" s="120">
        <f t="shared" si="54"/>
        <v>0</v>
      </c>
      <c r="V247" s="59" t="s">
        <v>745</v>
      </c>
      <c r="W247" s="46">
        <v>0.6</v>
      </c>
      <c r="X247" s="46">
        <v>0.05</v>
      </c>
      <c r="Y247" s="46">
        <v>0.28000000000000003</v>
      </c>
      <c r="Z247" s="46">
        <v>0.02</v>
      </c>
      <c r="AA247" s="46">
        <v>7.0000000000000007E-2</v>
      </c>
      <c r="AB247" s="46">
        <v>1.78E-2</v>
      </c>
      <c r="AC247" s="46">
        <v>7.0000000000000007E-2</v>
      </c>
      <c r="AD247" s="46">
        <v>9.6000000000000002E-2</v>
      </c>
      <c r="AE247" s="46">
        <v>0.93</v>
      </c>
      <c r="AF247" s="59" t="s">
        <v>1576</v>
      </c>
      <c r="AG247" s="59"/>
      <c r="AH247" s="59" t="s">
        <v>1635</v>
      </c>
    </row>
    <row r="248" spans="2:34" ht="15.75" thickBot="1" x14ac:dyDescent="0.3">
      <c r="B248" s="26"/>
      <c r="C248" s="483" t="s">
        <v>1123</v>
      </c>
      <c r="D248" s="484">
        <f>SUM(D232:D247)</f>
        <v>0</v>
      </c>
      <c r="E248" s="759">
        <f>SUMPRODUCT($D$16:$D$31,E232:E247)</f>
        <v>0</v>
      </c>
      <c r="F248" s="759">
        <f t="shared" ref="F248:M248" si="56">SUMPRODUCT($D$16:$D$31,F232:F247)</f>
        <v>0</v>
      </c>
      <c r="G248" s="759">
        <f t="shared" si="56"/>
        <v>0</v>
      </c>
      <c r="H248" s="759">
        <f t="shared" si="56"/>
        <v>0</v>
      </c>
      <c r="I248" s="759">
        <f t="shared" si="56"/>
        <v>0</v>
      </c>
      <c r="J248" s="759">
        <f t="shared" si="56"/>
        <v>0</v>
      </c>
      <c r="K248" s="759">
        <f t="shared" si="56"/>
        <v>0</v>
      </c>
      <c r="L248" s="759">
        <f t="shared" si="56"/>
        <v>0</v>
      </c>
      <c r="M248" s="759">
        <f t="shared" si="56"/>
        <v>0</v>
      </c>
      <c r="N248" s="779"/>
      <c r="O248" s="780"/>
      <c r="P248" s="484">
        <f>SUM(P232:P247)</f>
        <v>0</v>
      </c>
      <c r="Q248" s="91"/>
      <c r="R248" s="485">
        <f>SUM(R232:R247)</f>
        <v>0</v>
      </c>
      <c r="S248" s="91"/>
      <c r="T248" s="486">
        <f>SUM(T232:T247)</f>
        <v>0</v>
      </c>
      <c r="V248" s="59" t="s">
        <v>897</v>
      </c>
      <c r="W248" s="46">
        <v>0.42</v>
      </c>
      <c r="X248" s="46">
        <v>0.06</v>
      </c>
      <c r="Y248" s="46">
        <v>0.22</v>
      </c>
      <c r="Z248" s="46">
        <v>0</v>
      </c>
      <c r="AA248" s="46">
        <v>0.3</v>
      </c>
      <c r="AB248" s="46">
        <v>0</v>
      </c>
      <c r="AC248" s="46">
        <v>0.02</v>
      </c>
      <c r="AD248" s="46">
        <v>6.7199999999999996E-2</v>
      </c>
      <c r="AE248" s="46">
        <v>0.98</v>
      </c>
      <c r="AF248" s="59" t="s">
        <v>1576</v>
      </c>
      <c r="AG248" s="59"/>
      <c r="AH248" s="59" t="s">
        <v>1635</v>
      </c>
    </row>
    <row r="249" spans="2:34" ht="15.75" thickBot="1" x14ac:dyDescent="0.3">
      <c r="B249" s="480"/>
      <c r="C249" s="481"/>
      <c r="D249" s="482" t="str">
        <f>IF(D248=100%,"OK","Not 100%")</f>
        <v>Not 100%</v>
      </c>
      <c r="E249" s="760"/>
      <c r="F249" s="760"/>
      <c r="G249" s="760"/>
      <c r="H249" s="760"/>
      <c r="I249" s="760"/>
      <c r="J249" s="760"/>
      <c r="K249" s="760"/>
      <c r="L249" s="846"/>
      <c r="M249" s="847"/>
      <c r="N249" s="847"/>
      <c r="O249" s="847"/>
      <c r="P249" s="847"/>
      <c r="Q249" s="847"/>
      <c r="R249" s="847"/>
      <c r="S249" s="847"/>
      <c r="T249" s="848"/>
      <c r="V249" s="59" t="s">
        <v>1003</v>
      </c>
      <c r="W249" s="46">
        <v>0.19</v>
      </c>
      <c r="X249" s="46">
        <v>5.0000000000000001E-3</v>
      </c>
      <c r="Y249" s="46">
        <v>0.56499999999999995</v>
      </c>
      <c r="Z249" s="46">
        <v>0.13</v>
      </c>
      <c r="AA249" s="46">
        <v>0.24</v>
      </c>
      <c r="AB249" s="46">
        <v>0</v>
      </c>
      <c r="AC249" s="46">
        <v>0.02</v>
      </c>
      <c r="AD249" s="46">
        <v>3.04E-2</v>
      </c>
      <c r="AE249" s="46">
        <v>0.98</v>
      </c>
      <c r="AF249" s="59" t="s">
        <v>1576</v>
      </c>
      <c r="AG249" s="59"/>
      <c r="AH249" s="59" t="s">
        <v>1635</v>
      </c>
    </row>
    <row r="250" spans="2:34" x14ac:dyDescent="0.25">
      <c r="V250" s="59" t="s">
        <v>1002</v>
      </c>
      <c r="W250" s="46">
        <v>0.21</v>
      </c>
      <c r="X250" s="46">
        <v>5.0000000000000001E-3</v>
      </c>
      <c r="Y250" s="46">
        <v>0.33500000000000002</v>
      </c>
      <c r="Z250" s="46">
        <v>0.15</v>
      </c>
      <c r="AA250" s="46">
        <v>0.45</v>
      </c>
      <c r="AB250" s="46">
        <v>0</v>
      </c>
      <c r="AC250" s="46">
        <v>0.02</v>
      </c>
      <c r="AD250" s="46">
        <v>3.3599999999999998E-2</v>
      </c>
      <c r="AE250" s="46">
        <v>0.98</v>
      </c>
      <c r="AF250" s="59" t="s">
        <v>1576</v>
      </c>
      <c r="AG250" s="59"/>
      <c r="AH250" s="59" t="s">
        <v>1635</v>
      </c>
    </row>
    <row r="251" spans="2:34" x14ac:dyDescent="0.25">
      <c r="V251" s="59" t="s">
        <v>641</v>
      </c>
      <c r="W251" s="46">
        <v>0.57700000000000007</v>
      </c>
      <c r="X251" s="46">
        <v>0.16</v>
      </c>
      <c r="Y251" s="46">
        <v>0.13499999999999995</v>
      </c>
      <c r="Z251" s="46">
        <v>0.03</v>
      </c>
      <c r="AA251" s="46">
        <v>0.128</v>
      </c>
      <c r="AB251" s="46">
        <v>1.2500000000000001E-2</v>
      </c>
      <c r="AC251" s="46">
        <v>7.0000000000000007E-2</v>
      </c>
      <c r="AD251" s="46">
        <v>9.2320000000000013E-2</v>
      </c>
      <c r="AE251" s="46">
        <v>0.93</v>
      </c>
      <c r="AF251" s="59" t="s">
        <v>1576</v>
      </c>
      <c r="AG251" s="59"/>
      <c r="AH251" s="59" t="s">
        <v>1635</v>
      </c>
    </row>
    <row r="252" spans="2:34" x14ac:dyDescent="0.25">
      <c r="V252" s="59" t="s">
        <v>921</v>
      </c>
      <c r="W252" s="46">
        <v>0</v>
      </c>
      <c r="X252" s="46">
        <v>0.99</v>
      </c>
      <c r="Y252" s="46">
        <v>0.01</v>
      </c>
      <c r="Z252" s="46">
        <v>0</v>
      </c>
      <c r="AA252" s="46">
        <v>0</v>
      </c>
      <c r="AB252" s="46">
        <v>0</v>
      </c>
      <c r="AC252" s="46">
        <v>0.01</v>
      </c>
      <c r="AD252" s="46">
        <v>0</v>
      </c>
      <c r="AE252" s="46">
        <v>0.99</v>
      </c>
      <c r="AF252" s="59" t="s">
        <v>1576</v>
      </c>
      <c r="AG252" s="59"/>
      <c r="AH252" s="59" t="s">
        <v>1635</v>
      </c>
    </row>
    <row r="253" spans="2:34" x14ac:dyDescent="0.25">
      <c r="V253" s="59" t="s">
        <v>1708</v>
      </c>
      <c r="W253" s="46">
        <v>0.13300000000000001</v>
      </c>
      <c r="X253" s="46">
        <v>1.3000000000000001E-2</v>
      </c>
      <c r="Y253" s="46">
        <v>0.76600000000000013</v>
      </c>
      <c r="Z253" s="46">
        <v>0</v>
      </c>
      <c r="AA253" s="46">
        <v>8.8000000000000009E-2</v>
      </c>
      <c r="AB253" s="46">
        <v>6.9999999999999993E-3</v>
      </c>
      <c r="AC253" s="46">
        <v>0.05</v>
      </c>
      <c r="AD253" s="46">
        <v>2.128E-2</v>
      </c>
      <c r="AE253" s="46">
        <v>0.95</v>
      </c>
      <c r="AF253" s="59" t="s">
        <v>526</v>
      </c>
      <c r="AG253" s="59"/>
      <c r="AH253" s="59" t="s">
        <v>1635</v>
      </c>
    </row>
    <row r="254" spans="2:34" x14ac:dyDescent="0.25">
      <c r="V254" s="59" t="s">
        <v>1709</v>
      </c>
      <c r="W254" s="46">
        <v>9.6999999999999989E-2</v>
      </c>
      <c r="X254" s="46">
        <v>2.1000000000000001E-2</v>
      </c>
      <c r="Y254" s="46">
        <v>0.76400000000000001</v>
      </c>
      <c r="Z254" s="46">
        <v>0</v>
      </c>
      <c r="AA254" s="46">
        <v>0.11800000000000001</v>
      </c>
      <c r="AB254" s="46">
        <v>1.01E-2</v>
      </c>
      <c r="AC254" s="46">
        <v>0.02</v>
      </c>
      <c r="AD254" s="46">
        <v>1.5519999999999999E-2</v>
      </c>
      <c r="AE254" s="46">
        <v>0.98</v>
      </c>
      <c r="AF254" s="59" t="s">
        <v>526</v>
      </c>
      <c r="AG254" s="59"/>
      <c r="AH254" s="59" t="s">
        <v>1635</v>
      </c>
    </row>
    <row r="255" spans="2:34" x14ac:dyDescent="0.25">
      <c r="V255" s="59" t="s">
        <v>924</v>
      </c>
      <c r="W255" s="46">
        <v>0</v>
      </c>
      <c r="X255" s="46">
        <v>0.99</v>
      </c>
      <c r="Y255" s="46">
        <v>0.01</v>
      </c>
      <c r="Z255" s="46">
        <v>0</v>
      </c>
      <c r="AA255" s="46">
        <v>0</v>
      </c>
      <c r="AB255" s="46">
        <v>0</v>
      </c>
      <c r="AC255" s="46">
        <v>0.01</v>
      </c>
      <c r="AD255" s="46">
        <v>0</v>
      </c>
      <c r="AE255" s="46">
        <v>0.99</v>
      </c>
      <c r="AF255" s="59" t="s">
        <v>1576</v>
      </c>
      <c r="AG255" s="59"/>
      <c r="AH255" s="59" t="s">
        <v>1635</v>
      </c>
    </row>
    <row r="256" spans="2:34" x14ac:dyDescent="0.25">
      <c r="V256" s="59" t="s">
        <v>960</v>
      </c>
      <c r="W256" s="46">
        <v>0.98</v>
      </c>
      <c r="X256" s="46">
        <v>0</v>
      </c>
      <c r="Y256" s="46">
        <v>0.02</v>
      </c>
      <c r="Z256" s="46">
        <v>0</v>
      </c>
      <c r="AA256" s="46">
        <v>0</v>
      </c>
      <c r="AB256" s="46">
        <v>0</v>
      </c>
      <c r="AC256" s="46">
        <v>0.02</v>
      </c>
      <c r="AD256" s="46">
        <v>0.15679999999999999</v>
      </c>
      <c r="AE256" s="46">
        <v>0.98</v>
      </c>
      <c r="AF256" s="59" t="s">
        <v>1576</v>
      </c>
      <c r="AG256" s="59"/>
      <c r="AH256" s="59" t="s">
        <v>1635</v>
      </c>
    </row>
    <row r="257" spans="22:34" x14ac:dyDescent="0.25">
      <c r="V257" s="59" t="s">
        <v>970</v>
      </c>
      <c r="W257" s="46">
        <v>0.98</v>
      </c>
      <c r="X257" s="46">
        <v>0</v>
      </c>
      <c r="Y257" s="46">
        <v>0.02</v>
      </c>
      <c r="Z257" s="46">
        <v>0</v>
      </c>
      <c r="AA257" s="46">
        <v>0</v>
      </c>
      <c r="AB257" s="46">
        <v>0</v>
      </c>
      <c r="AC257" s="46">
        <v>0.02</v>
      </c>
      <c r="AD257" s="46">
        <v>0.15679999999999999</v>
      </c>
      <c r="AE257" s="46">
        <v>0.98</v>
      </c>
      <c r="AF257" s="59" t="s">
        <v>1576</v>
      </c>
      <c r="AG257" s="59"/>
      <c r="AH257" s="59" t="s">
        <v>1635</v>
      </c>
    </row>
    <row r="258" spans="22:34" x14ac:dyDescent="0.25">
      <c r="V258" s="59" t="s">
        <v>961</v>
      </c>
      <c r="W258" s="46">
        <v>0.98</v>
      </c>
      <c r="X258" s="46">
        <v>0</v>
      </c>
      <c r="Y258" s="46">
        <v>0.02</v>
      </c>
      <c r="Z258" s="46">
        <v>0</v>
      </c>
      <c r="AA258" s="46">
        <v>0</v>
      </c>
      <c r="AB258" s="46">
        <v>0</v>
      </c>
      <c r="AC258" s="46">
        <v>0.02</v>
      </c>
      <c r="AD258" s="46">
        <v>0.15679999999999999</v>
      </c>
      <c r="AE258" s="46">
        <v>0.98</v>
      </c>
      <c r="AF258" s="59" t="s">
        <v>1576</v>
      </c>
      <c r="AG258" s="59"/>
      <c r="AH258" s="59" t="s">
        <v>1635</v>
      </c>
    </row>
    <row r="259" spans="22:34" x14ac:dyDescent="0.25">
      <c r="V259" s="59" t="s">
        <v>1019</v>
      </c>
      <c r="W259" s="46">
        <v>0</v>
      </c>
      <c r="X259" s="46">
        <v>0</v>
      </c>
      <c r="Y259" s="46">
        <v>0.65</v>
      </c>
      <c r="Z259" s="46">
        <v>0.1</v>
      </c>
      <c r="AA259" s="46">
        <v>0.35</v>
      </c>
      <c r="AB259" s="46">
        <v>0</v>
      </c>
      <c r="AC259" s="46">
        <v>0.01</v>
      </c>
      <c r="AD259" s="46">
        <v>0</v>
      </c>
      <c r="AE259" s="46">
        <v>0.99</v>
      </c>
      <c r="AF259" s="59" t="s">
        <v>1576</v>
      </c>
      <c r="AG259" s="59"/>
      <c r="AH259" s="59" t="s">
        <v>1635</v>
      </c>
    </row>
    <row r="260" spans="22:34" x14ac:dyDescent="0.25">
      <c r="V260" s="59" t="s">
        <v>992</v>
      </c>
      <c r="W260" s="46">
        <v>0</v>
      </c>
      <c r="X260" s="46">
        <v>0</v>
      </c>
      <c r="Y260" s="46">
        <v>0.05</v>
      </c>
      <c r="Z260" s="46">
        <v>0</v>
      </c>
      <c r="AA260" s="46">
        <v>0.95</v>
      </c>
      <c r="AB260" s="46">
        <v>2.0999999999999999E-3</v>
      </c>
      <c r="AC260" s="46">
        <v>0.05</v>
      </c>
      <c r="AD260" s="46">
        <v>0</v>
      </c>
      <c r="AE260" s="46">
        <v>0.95</v>
      </c>
      <c r="AF260" s="59" t="s">
        <v>1576</v>
      </c>
      <c r="AG260" s="59"/>
      <c r="AH260" s="59" t="s">
        <v>1635</v>
      </c>
    </row>
    <row r="261" spans="22:34" x14ac:dyDescent="0.25">
      <c r="V261" s="59" t="s">
        <v>1710</v>
      </c>
      <c r="W261" s="46">
        <v>0.318</v>
      </c>
      <c r="X261" s="46">
        <v>0.03</v>
      </c>
      <c r="Y261" s="46">
        <v>0.59400000000000008</v>
      </c>
      <c r="Z261" s="46">
        <v>0.42700000000000005</v>
      </c>
      <c r="AA261" s="46">
        <v>5.7999999999999996E-2</v>
      </c>
      <c r="AB261" s="46">
        <v>8.0000000000000002E-3</v>
      </c>
      <c r="AC261" s="46">
        <v>0.11400000000000006</v>
      </c>
      <c r="AD261" s="46">
        <v>5.0880000000000002E-2</v>
      </c>
      <c r="AE261" s="46">
        <v>0.8859999999999999</v>
      </c>
      <c r="AF261" s="59" t="s">
        <v>526</v>
      </c>
      <c r="AG261" s="59"/>
      <c r="AH261" s="59" t="s">
        <v>1635</v>
      </c>
    </row>
    <row r="262" spans="22:34" x14ac:dyDescent="0.25">
      <c r="V262" s="59" t="s">
        <v>747</v>
      </c>
      <c r="W262" s="46">
        <v>0.32899999999999996</v>
      </c>
      <c r="X262" s="46">
        <v>7.0000000000000007E-2</v>
      </c>
      <c r="Y262" s="46">
        <v>0.53299999999999992</v>
      </c>
      <c r="Z262" s="46">
        <v>0.10400000000000001</v>
      </c>
      <c r="AA262" s="46">
        <v>6.8000000000000005E-2</v>
      </c>
      <c r="AB262" s="46">
        <v>9.0000000000000011E-3</v>
      </c>
      <c r="AC262" s="46">
        <v>0.10599999999999994</v>
      </c>
      <c r="AD262" s="46">
        <v>5.2639999999999992E-2</v>
      </c>
      <c r="AE262" s="46">
        <v>0.89400000000000002</v>
      </c>
      <c r="AF262" s="59" t="s">
        <v>1576</v>
      </c>
      <c r="AG262" s="59"/>
      <c r="AH262" s="59" t="s">
        <v>1635</v>
      </c>
    </row>
    <row r="263" spans="22:34" x14ac:dyDescent="0.25">
      <c r="V263" s="59" t="s">
        <v>748</v>
      </c>
      <c r="W263" s="46">
        <v>0.34700000000000003</v>
      </c>
      <c r="X263" s="46">
        <v>1.4999999999999999E-2</v>
      </c>
      <c r="Y263" s="46">
        <v>0.57599999999999996</v>
      </c>
      <c r="Z263" s="46">
        <v>9.0999999999999998E-2</v>
      </c>
      <c r="AA263" s="46">
        <v>6.2E-2</v>
      </c>
      <c r="AB263" s="46">
        <v>9.5999999999999992E-3</v>
      </c>
      <c r="AC263" s="46">
        <v>0.10799999999999997</v>
      </c>
      <c r="AD263" s="46">
        <v>5.5520000000000007E-2</v>
      </c>
      <c r="AE263" s="46">
        <v>0.89200000000000002</v>
      </c>
      <c r="AF263" s="59" t="s">
        <v>1576</v>
      </c>
      <c r="AG263" s="59"/>
      <c r="AH263" s="59" t="s">
        <v>1635</v>
      </c>
    </row>
    <row r="264" spans="22:34" x14ac:dyDescent="0.25">
      <c r="V264" s="59" t="s">
        <v>934</v>
      </c>
      <c r="W264" s="46">
        <v>0</v>
      </c>
      <c r="X264" s="46">
        <v>0.99</v>
      </c>
      <c r="Y264" s="46">
        <v>0.01</v>
      </c>
      <c r="Z264" s="46">
        <v>0</v>
      </c>
      <c r="AA264" s="46">
        <v>0</v>
      </c>
      <c r="AB264" s="46">
        <v>0</v>
      </c>
      <c r="AC264" s="46">
        <v>0.01</v>
      </c>
      <c r="AD264" s="46">
        <v>0</v>
      </c>
      <c r="AE264" s="46">
        <v>0.99</v>
      </c>
      <c r="AF264" s="59" t="s">
        <v>1576</v>
      </c>
      <c r="AG264" s="59"/>
      <c r="AH264" s="59" t="s">
        <v>1635</v>
      </c>
    </row>
    <row r="265" spans="22:34" x14ac:dyDescent="0.25">
      <c r="V265" s="59" t="s">
        <v>1711</v>
      </c>
      <c r="W265" s="46">
        <v>0</v>
      </c>
      <c r="X265" s="46">
        <v>1</v>
      </c>
      <c r="Y265" s="46">
        <v>0</v>
      </c>
      <c r="Z265" s="46">
        <v>0</v>
      </c>
      <c r="AA265" s="46">
        <v>0</v>
      </c>
      <c r="AB265" s="46">
        <v>0</v>
      </c>
      <c r="AC265" s="46">
        <v>0</v>
      </c>
      <c r="AD265" s="46">
        <v>0</v>
      </c>
      <c r="AE265" s="46">
        <v>1</v>
      </c>
      <c r="AF265" s="59" t="s">
        <v>526</v>
      </c>
      <c r="AG265" s="59"/>
      <c r="AH265" s="59" t="s">
        <v>1635</v>
      </c>
    </row>
    <row r="266" spans="22:34" x14ac:dyDescent="0.25">
      <c r="V266" s="59" t="s">
        <v>749</v>
      </c>
      <c r="W266" s="46">
        <v>0.248</v>
      </c>
      <c r="X266" s="46">
        <v>0.34499999999999997</v>
      </c>
      <c r="Y266" s="46">
        <v>0.36</v>
      </c>
      <c r="Z266" s="46">
        <v>5.7999999999999996E-2</v>
      </c>
      <c r="AA266" s="46">
        <v>4.7E-2</v>
      </c>
      <c r="AB266" s="46">
        <v>5.6000000000000008E-3</v>
      </c>
      <c r="AC266" s="46">
        <v>6.9000000000000061E-2</v>
      </c>
      <c r="AD266" s="46">
        <v>3.968E-2</v>
      </c>
      <c r="AE266" s="46">
        <v>0.93099999999999994</v>
      </c>
      <c r="AF266" s="59" t="s">
        <v>1576</v>
      </c>
      <c r="AG266" s="59"/>
      <c r="AH266" s="59" t="s">
        <v>1635</v>
      </c>
    </row>
    <row r="267" spans="22:34" x14ac:dyDescent="0.25">
      <c r="V267" s="59" t="s">
        <v>974</v>
      </c>
      <c r="W267" s="46">
        <v>0.59899999999999998</v>
      </c>
      <c r="X267" s="46">
        <v>0</v>
      </c>
      <c r="Y267" s="46">
        <v>0.4</v>
      </c>
      <c r="Z267" s="46">
        <v>0</v>
      </c>
      <c r="AA267" s="46">
        <v>1E-3</v>
      </c>
      <c r="AB267" s="46">
        <v>0</v>
      </c>
      <c r="AC267" s="46">
        <v>0.38</v>
      </c>
      <c r="AD267" s="46">
        <v>9.5839999999999995E-2</v>
      </c>
      <c r="AE267" s="46">
        <v>0.62</v>
      </c>
      <c r="AF267" s="59" t="s">
        <v>1576</v>
      </c>
      <c r="AG267" s="59"/>
      <c r="AH267" s="59" t="s">
        <v>1635</v>
      </c>
    </row>
    <row r="268" spans="22:34" x14ac:dyDescent="0.25">
      <c r="V268" s="59" t="s">
        <v>962</v>
      </c>
      <c r="W268" s="46">
        <v>0.86</v>
      </c>
      <c r="X268" s="46">
        <v>3.0000000000000001E-3</v>
      </c>
      <c r="Y268" s="46">
        <v>0.127</v>
      </c>
      <c r="Z268" s="46">
        <v>0</v>
      </c>
      <c r="AA268" s="46">
        <v>0.01</v>
      </c>
      <c r="AB268" s="46">
        <v>0</v>
      </c>
      <c r="AC268" s="46">
        <v>0.05</v>
      </c>
      <c r="AD268" s="46">
        <v>0.1376</v>
      </c>
      <c r="AE268" s="46">
        <v>0.95</v>
      </c>
      <c r="AF268" s="59" t="s">
        <v>1576</v>
      </c>
      <c r="AG268" s="59"/>
      <c r="AH268" s="59" t="s">
        <v>1635</v>
      </c>
    </row>
    <row r="269" spans="22:34" x14ac:dyDescent="0.25">
      <c r="V269" s="59" t="s">
        <v>963</v>
      </c>
      <c r="W269" s="46">
        <v>0.86</v>
      </c>
      <c r="X269" s="46">
        <v>3.0000000000000001E-3</v>
      </c>
      <c r="Y269" s="46">
        <v>0.127</v>
      </c>
      <c r="Z269" s="46">
        <v>0</v>
      </c>
      <c r="AA269" s="46">
        <v>0.01</v>
      </c>
      <c r="AB269" s="46">
        <v>0</v>
      </c>
      <c r="AC269" s="46">
        <v>0.05</v>
      </c>
      <c r="AD269" s="46">
        <v>0.1376</v>
      </c>
      <c r="AE269" s="46">
        <v>0.95</v>
      </c>
      <c r="AF269" s="59" t="s">
        <v>1576</v>
      </c>
      <c r="AG269" s="59"/>
      <c r="AH269" s="59" t="s">
        <v>1635</v>
      </c>
    </row>
    <row r="270" spans="22:34" x14ac:dyDescent="0.25">
      <c r="V270" s="59" t="s">
        <v>972</v>
      </c>
      <c r="W270" s="46">
        <v>0.94</v>
      </c>
      <c r="X270" s="46">
        <v>0</v>
      </c>
      <c r="Y270" s="46">
        <v>5.7000000000000002E-2</v>
      </c>
      <c r="Z270" s="46">
        <v>0</v>
      </c>
      <c r="AA270" s="46">
        <v>3.0000000000000001E-3</v>
      </c>
      <c r="AB270" s="46">
        <v>0</v>
      </c>
      <c r="AC270" s="46">
        <v>0.01</v>
      </c>
      <c r="AD270" s="46">
        <v>0.15039999999999998</v>
      </c>
      <c r="AE270" s="46">
        <v>0.99</v>
      </c>
      <c r="AF270" s="59" t="s">
        <v>1576</v>
      </c>
      <c r="AG270" s="59"/>
      <c r="AH270" s="59" t="s">
        <v>1635</v>
      </c>
    </row>
    <row r="271" spans="22:34" x14ac:dyDescent="0.25">
      <c r="V271" s="59" t="s">
        <v>1712</v>
      </c>
      <c r="W271" s="46">
        <v>1</v>
      </c>
      <c r="X271" s="46">
        <v>0</v>
      </c>
      <c r="Y271" s="46">
        <v>0</v>
      </c>
      <c r="Z271" s="46">
        <v>0</v>
      </c>
      <c r="AA271" s="46">
        <v>0</v>
      </c>
      <c r="AB271" s="46">
        <v>0</v>
      </c>
      <c r="AC271" s="46">
        <v>0</v>
      </c>
      <c r="AD271" s="46">
        <v>0.16</v>
      </c>
      <c r="AE271" s="46">
        <v>1</v>
      </c>
      <c r="AF271" s="59" t="s">
        <v>526</v>
      </c>
      <c r="AG271" s="59"/>
      <c r="AH271" s="59" t="s">
        <v>1635</v>
      </c>
    </row>
    <row r="272" spans="22:34" x14ac:dyDescent="0.25">
      <c r="V272" s="59" t="s">
        <v>964</v>
      </c>
      <c r="W272" s="46">
        <v>0.75</v>
      </c>
      <c r="X272" s="46">
        <v>0</v>
      </c>
      <c r="Y272" s="46">
        <v>0.25</v>
      </c>
      <c r="Z272" s="46">
        <v>0</v>
      </c>
      <c r="AA272" s="46">
        <v>0</v>
      </c>
      <c r="AB272" s="46">
        <v>1.6000000000000001E-3</v>
      </c>
      <c r="AC272" s="46">
        <v>0.05</v>
      </c>
      <c r="AD272" s="46">
        <v>0.12</v>
      </c>
      <c r="AE272" s="46">
        <v>0.95</v>
      </c>
      <c r="AF272" s="59" t="s">
        <v>1576</v>
      </c>
      <c r="AG272" s="59"/>
      <c r="AH272" s="59" t="s">
        <v>1635</v>
      </c>
    </row>
    <row r="273" spans="22:34" x14ac:dyDescent="0.25">
      <c r="V273" s="59" t="s">
        <v>966</v>
      </c>
      <c r="W273" s="46">
        <v>0.98</v>
      </c>
      <c r="X273" s="46">
        <v>0</v>
      </c>
      <c r="Y273" s="46">
        <v>0.02</v>
      </c>
      <c r="Z273" s="46">
        <v>0</v>
      </c>
      <c r="AA273" s="46">
        <v>0</v>
      </c>
      <c r="AB273" s="46">
        <v>0</v>
      </c>
      <c r="AC273" s="46">
        <v>0.02</v>
      </c>
      <c r="AD273" s="46">
        <v>0.15679999999999999</v>
      </c>
      <c r="AE273" s="46">
        <v>0.98</v>
      </c>
      <c r="AF273" s="59" t="s">
        <v>1576</v>
      </c>
      <c r="AG273" s="59"/>
      <c r="AH273" s="59" t="s">
        <v>1635</v>
      </c>
    </row>
    <row r="274" spans="22:34" x14ac:dyDescent="0.25">
      <c r="V274" s="59" t="s">
        <v>971</v>
      </c>
      <c r="W274" s="46">
        <v>0.8</v>
      </c>
      <c r="X274" s="46">
        <v>0</v>
      </c>
      <c r="Y274" s="46">
        <v>0.2</v>
      </c>
      <c r="Z274" s="46">
        <v>0</v>
      </c>
      <c r="AA274" s="46">
        <v>0</v>
      </c>
      <c r="AB274" s="46">
        <v>0</v>
      </c>
      <c r="AC274" s="46">
        <v>0.1</v>
      </c>
      <c r="AD274" s="46">
        <v>0.128</v>
      </c>
      <c r="AE274" s="46">
        <v>0.9</v>
      </c>
      <c r="AF274" s="59" t="s">
        <v>1576</v>
      </c>
      <c r="AG274" s="59"/>
      <c r="AH274" s="59" t="s">
        <v>1635</v>
      </c>
    </row>
    <row r="275" spans="22:34" x14ac:dyDescent="0.25">
      <c r="V275" s="59" t="s">
        <v>967</v>
      </c>
      <c r="W275" s="46">
        <v>0.78099999999999992</v>
      </c>
      <c r="X275" s="46">
        <v>0</v>
      </c>
      <c r="Y275" s="46">
        <v>0.21900000000000006</v>
      </c>
      <c r="Z275" s="46">
        <v>0</v>
      </c>
      <c r="AA275" s="46">
        <v>0</v>
      </c>
      <c r="AB275" s="46">
        <v>0</v>
      </c>
      <c r="AC275" s="46">
        <v>0.02</v>
      </c>
      <c r="AD275" s="46">
        <v>0.12495999999999999</v>
      </c>
      <c r="AE275" s="46">
        <v>0.98</v>
      </c>
      <c r="AF275" s="59" t="s">
        <v>1576</v>
      </c>
      <c r="AG275" s="59"/>
      <c r="AH275" s="59" t="s">
        <v>1635</v>
      </c>
    </row>
    <row r="276" spans="22:34" x14ac:dyDescent="0.25">
      <c r="V276" s="59" t="s">
        <v>976</v>
      </c>
      <c r="W276" s="46">
        <v>0.72400000000000009</v>
      </c>
      <c r="X276" s="46">
        <v>0</v>
      </c>
      <c r="Y276" s="46">
        <v>0.27499999999999991</v>
      </c>
      <c r="Z276" s="46">
        <v>0</v>
      </c>
      <c r="AA276" s="46">
        <v>1E-3</v>
      </c>
      <c r="AB276" s="46">
        <v>0</v>
      </c>
      <c r="AC276" s="46">
        <v>5.0000000000000001E-3</v>
      </c>
      <c r="AD276" s="46">
        <v>0.11584000000000001</v>
      </c>
      <c r="AE276" s="46">
        <v>0.995</v>
      </c>
      <c r="AF276" s="59" t="s">
        <v>1576</v>
      </c>
      <c r="AG276" s="59"/>
      <c r="AH276" s="59" t="s">
        <v>1635</v>
      </c>
    </row>
    <row r="277" spans="22:34" x14ac:dyDescent="0.25">
      <c r="V277" s="59" t="s">
        <v>975</v>
      </c>
      <c r="W277" s="46">
        <v>0.72400000000000009</v>
      </c>
      <c r="X277" s="46">
        <v>0</v>
      </c>
      <c r="Y277" s="46">
        <v>0.27499999999999991</v>
      </c>
      <c r="Z277" s="46">
        <v>0</v>
      </c>
      <c r="AA277" s="46">
        <v>1E-3</v>
      </c>
      <c r="AB277" s="46">
        <v>0</v>
      </c>
      <c r="AC277" s="46">
        <v>5.0000000000000001E-3</v>
      </c>
      <c r="AD277" s="46">
        <v>0.11584000000000001</v>
      </c>
      <c r="AE277" s="46">
        <v>0.995</v>
      </c>
      <c r="AF277" s="59" t="s">
        <v>1576</v>
      </c>
      <c r="AG277" s="59"/>
      <c r="AH277" s="59" t="s">
        <v>1635</v>
      </c>
    </row>
    <row r="278" spans="22:34" x14ac:dyDescent="0.25">
      <c r="V278" s="59" t="s">
        <v>968</v>
      </c>
      <c r="W278" s="46">
        <v>0.98</v>
      </c>
      <c r="X278" s="46">
        <v>0</v>
      </c>
      <c r="Y278" s="46">
        <v>0.02</v>
      </c>
      <c r="Z278" s="46">
        <v>0</v>
      </c>
      <c r="AA278" s="46">
        <v>0</v>
      </c>
      <c r="AB278" s="46">
        <v>0</v>
      </c>
      <c r="AC278" s="46">
        <v>0.02</v>
      </c>
      <c r="AD278" s="46">
        <v>0.15679999999999999</v>
      </c>
      <c r="AE278" s="46">
        <v>0.98</v>
      </c>
      <c r="AF278" s="59" t="s">
        <v>1576</v>
      </c>
      <c r="AG278" s="59"/>
      <c r="AH278" s="59" t="s">
        <v>1635</v>
      </c>
    </row>
    <row r="279" spans="22:34" x14ac:dyDescent="0.25">
      <c r="V279" s="59" t="s">
        <v>977</v>
      </c>
      <c r="W279" s="46">
        <v>0.84</v>
      </c>
      <c r="X279" s="46">
        <v>0</v>
      </c>
      <c r="Y279" s="46">
        <v>0.158</v>
      </c>
      <c r="Z279" s="46">
        <v>0</v>
      </c>
      <c r="AA279" s="46">
        <v>2E-3</v>
      </c>
      <c r="AB279" s="46">
        <v>0</v>
      </c>
      <c r="AC279" s="46">
        <v>0.01</v>
      </c>
      <c r="AD279" s="46">
        <v>0.13439999999999999</v>
      </c>
      <c r="AE279" s="46">
        <v>0.99</v>
      </c>
      <c r="AF279" s="59" t="s">
        <v>1576</v>
      </c>
      <c r="AG279" s="59"/>
      <c r="AH279" s="59" t="s">
        <v>1635</v>
      </c>
    </row>
    <row r="280" spans="22:34" x14ac:dyDescent="0.25">
      <c r="V280" s="59" t="s">
        <v>753</v>
      </c>
      <c r="W280" s="46">
        <v>0.39399999999999996</v>
      </c>
      <c r="X280" s="46">
        <v>6.8000000000000005E-2</v>
      </c>
      <c r="Y280" s="46">
        <v>0.503</v>
      </c>
      <c r="Z280" s="46">
        <v>0.05</v>
      </c>
      <c r="AA280" s="46">
        <v>3.5000000000000003E-2</v>
      </c>
      <c r="AB280" s="46">
        <v>3.7000000000000002E-3</v>
      </c>
      <c r="AC280" s="46">
        <v>9.7000000000000031E-2</v>
      </c>
      <c r="AD280" s="46">
        <v>6.3039999999999999E-2</v>
      </c>
      <c r="AE280" s="46">
        <v>0.90300000000000002</v>
      </c>
      <c r="AF280" s="59" t="s">
        <v>1576</v>
      </c>
      <c r="AG280" s="59"/>
      <c r="AH280" s="59" t="s">
        <v>1635</v>
      </c>
    </row>
    <row r="281" spans="22:34" x14ac:dyDescent="0.25">
      <c r="V281" s="59" t="s">
        <v>750</v>
      </c>
      <c r="W281" s="46">
        <v>0.54</v>
      </c>
      <c r="X281" s="46">
        <v>0.12</v>
      </c>
      <c r="Y281" s="46">
        <v>0.3</v>
      </c>
      <c r="Z281" s="46">
        <v>0</v>
      </c>
      <c r="AA281" s="46">
        <v>0.04</v>
      </c>
      <c r="AB281" s="46">
        <v>5.0000000000000001E-3</v>
      </c>
      <c r="AC281" s="46">
        <v>0.06</v>
      </c>
      <c r="AD281" s="46">
        <v>8.6400000000000005E-2</v>
      </c>
      <c r="AE281" s="46">
        <v>0.94</v>
      </c>
      <c r="AF281" s="59" t="s">
        <v>1576</v>
      </c>
      <c r="AG281" s="59"/>
      <c r="AH281" s="59" t="s">
        <v>1635</v>
      </c>
    </row>
    <row r="282" spans="22:34" x14ac:dyDescent="0.25">
      <c r="V282" s="59" t="s">
        <v>752</v>
      </c>
      <c r="W282" s="46">
        <v>0.36299999999999999</v>
      </c>
      <c r="X282" s="46">
        <v>7.400000000000001E-2</v>
      </c>
      <c r="Y282" s="46">
        <v>0.52600000000000002</v>
      </c>
      <c r="Z282" s="46">
        <v>7.5999999999999998E-2</v>
      </c>
      <c r="AA282" s="46">
        <v>3.7000000000000005E-2</v>
      </c>
      <c r="AB282" s="46">
        <v>5.3E-3</v>
      </c>
      <c r="AC282" s="46">
        <v>8.7000000000000022E-2</v>
      </c>
      <c r="AD282" s="46">
        <v>5.808E-2</v>
      </c>
      <c r="AE282" s="46">
        <v>0.91299999999999992</v>
      </c>
      <c r="AF282" s="59" t="s">
        <v>1576</v>
      </c>
      <c r="AG282" s="59"/>
      <c r="AH282" s="59" t="s">
        <v>1635</v>
      </c>
    </row>
    <row r="283" spans="22:34" x14ac:dyDescent="0.25">
      <c r="V283" s="59" t="s">
        <v>751</v>
      </c>
      <c r="W283" s="46">
        <v>0.49200000000000005</v>
      </c>
      <c r="X283" s="46">
        <v>9.6000000000000002E-2</v>
      </c>
      <c r="Y283" s="46">
        <v>0.38099999999999995</v>
      </c>
      <c r="Z283" s="46">
        <v>0</v>
      </c>
      <c r="AA283" s="46">
        <v>3.1E-2</v>
      </c>
      <c r="AB283" s="46">
        <v>9.1999999999999998E-3</v>
      </c>
      <c r="AC283" s="46">
        <v>0.09</v>
      </c>
      <c r="AD283" s="46">
        <v>7.8720000000000012E-2</v>
      </c>
      <c r="AE283" s="46">
        <v>0.91</v>
      </c>
      <c r="AF283" s="59" t="s">
        <v>1576</v>
      </c>
      <c r="AG283" s="59"/>
      <c r="AH283" s="59" t="s">
        <v>1635</v>
      </c>
    </row>
    <row r="284" spans="22:34" x14ac:dyDescent="0.25">
      <c r="V284" s="59" t="s">
        <v>969</v>
      </c>
      <c r="W284" s="46">
        <v>0.98</v>
      </c>
      <c r="X284" s="46">
        <v>0</v>
      </c>
      <c r="Y284" s="46">
        <v>0.02</v>
      </c>
      <c r="Z284" s="46">
        <v>0</v>
      </c>
      <c r="AA284" s="46">
        <v>0</v>
      </c>
      <c r="AB284" s="46">
        <v>0</v>
      </c>
      <c r="AC284" s="46">
        <v>0.02</v>
      </c>
      <c r="AD284" s="46">
        <v>0.15679999999999999</v>
      </c>
      <c r="AE284" s="46">
        <v>0.98</v>
      </c>
      <c r="AF284" s="59" t="s">
        <v>1576</v>
      </c>
      <c r="AG284" s="59"/>
      <c r="AH284" s="59" t="s">
        <v>1635</v>
      </c>
    </row>
    <row r="285" spans="22:34" x14ac:dyDescent="0.25">
      <c r="V285" s="59" t="s">
        <v>978</v>
      </c>
      <c r="W285" s="46">
        <v>0.72099999999999997</v>
      </c>
      <c r="X285" s="46">
        <v>0</v>
      </c>
      <c r="Y285" s="46">
        <v>0.27400000000000008</v>
      </c>
      <c r="Z285" s="46">
        <v>0</v>
      </c>
      <c r="AA285" s="46">
        <v>5.0000000000000001E-3</v>
      </c>
      <c r="AB285" s="46">
        <v>0</v>
      </c>
      <c r="AC285" s="46">
        <v>0.06</v>
      </c>
      <c r="AD285" s="46">
        <v>0.11535999999999999</v>
      </c>
      <c r="AE285" s="46">
        <v>0.94</v>
      </c>
      <c r="AF285" s="59" t="s">
        <v>1576</v>
      </c>
      <c r="AG285" s="59"/>
      <c r="AH285" s="59" t="s">
        <v>1635</v>
      </c>
    </row>
    <row r="286" spans="22:34" x14ac:dyDescent="0.25">
      <c r="V286" s="59" t="s">
        <v>973</v>
      </c>
      <c r="W286" s="46">
        <v>0.755</v>
      </c>
      <c r="X286" s="46">
        <v>0</v>
      </c>
      <c r="Y286" s="46">
        <v>0.24399999999999999</v>
      </c>
      <c r="Z286" s="46">
        <v>0</v>
      </c>
      <c r="AA286" s="46">
        <v>1E-3</v>
      </c>
      <c r="AB286" s="46">
        <v>0</v>
      </c>
      <c r="AC286" s="46">
        <v>0.04</v>
      </c>
      <c r="AD286" s="46">
        <v>0.1208</v>
      </c>
      <c r="AE286" s="46">
        <v>0.96</v>
      </c>
      <c r="AF286" s="59" t="s">
        <v>1576</v>
      </c>
      <c r="AG286" s="59"/>
      <c r="AH286" s="59" t="s">
        <v>1635</v>
      </c>
    </row>
    <row r="287" spans="22:34" x14ac:dyDescent="0.25">
      <c r="V287" s="59" t="s">
        <v>674</v>
      </c>
      <c r="W287" s="46">
        <v>0.5</v>
      </c>
      <c r="X287" s="46">
        <v>0.1</v>
      </c>
      <c r="Y287" s="46">
        <v>0.26700000000000002</v>
      </c>
      <c r="Z287" s="46">
        <v>0.13</v>
      </c>
      <c r="AA287" s="46">
        <v>0.13300000000000001</v>
      </c>
      <c r="AB287" s="46">
        <v>8.199999999999999E-3</v>
      </c>
      <c r="AC287" s="46">
        <v>0.1</v>
      </c>
      <c r="AD287" s="46">
        <v>0.08</v>
      </c>
      <c r="AE287" s="46">
        <v>0.9</v>
      </c>
      <c r="AF287" s="59" t="s">
        <v>1576</v>
      </c>
      <c r="AG287" s="59"/>
      <c r="AH287" s="59" t="s">
        <v>1635</v>
      </c>
    </row>
    <row r="288" spans="22:34" x14ac:dyDescent="0.25">
      <c r="V288" s="59" t="s">
        <v>993</v>
      </c>
      <c r="W288" s="46">
        <v>0</v>
      </c>
      <c r="X288" s="46">
        <v>0</v>
      </c>
      <c r="Y288" s="46">
        <v>0.02</v>
      </c>
      <c r="Z288" s="46">
        <v>0</v>
      </c>
      <c r="AA288" s="46">
        <v>0.98</v>
      </c>
      <c r="AB288" s="46">
        <v>0.14000000000000001</v>
      </c>
      <c r="AC288" s="46">
        <v>0.02</v>
      </c>
      <c r="AD288" s="46">
        <v>0</v>
      </c>
      <c r="AE288" s="46">
        <v>0.98</v>
      </c>
      <c r="AF288" s="59" t="s">
        <v>1576</v>
      </c>
      <c r="AG288" s="59"/>
      <c r="AH288" s="59" t="s">
        <v>1635</v>
      </c>
    </row>
    <row r="289" spans="22:34" x14ac:dyDescent="0.25">
      <c r="V289" s="59" t="s">
        <v>999</v>
      </c>
      <c r="W289" s="46">
        <v>0.22</v>
      </c>
      <c r="X289" s="46">
        <v>5.0000000000000001E-3</v>
      </c>
      <c r="Y289" s="46">
        <v>0.52500000000000002</v>
      </c>
      <c r="Z289" s="46">
        <v>0.14000000000000001</v>
      </c>
      <c r="AA289" s="46">
        <v>0.25</v>
      </c>
      <c r="AB289" s="46">
        <v>0</v>
      </c>
      <c r="AC289" s="46">
        <v>0.02</v>
      </c>
      <c r="AD289" s="46">
        <v>3.5200000000000002E-2</v>
      </c>
      <c r="AE289" s="46">
        <v>0.98</v>
      </c>
      <c r="AF289" s="59" t="s">
        <v>1576</v>
      </c>
      <c r="AG289" s="59"/>
      <c r="AH289" s="59" t="s">
        <v>1635</v>
      </c>
    </row>
    <row r="290" spans="22:34" x14ac:dyDescent="0.25">
      <c r="V290" s="59" t="s">
        <v>998</v>
      </c>
      <c r="W290" s="46">
        <v>0.23</v>
      </c>
      <c r="X290" s="46">
        <v>5.0000000000000001E-3</v>
      </c>
      <c r="Y290" s="46">
        <v>0.505</v>
      </c>
      <c r="Z290" s="46">
        <v>0.12</v>
      </c>
      <c r="AA290" s="46">
        <v>0.26</v>
      </c>
      <c r="AB290" s="46">
        <v>0</v>
      </c>
      <c r="AC290" s="46">
        <v>0.02</v>
      </c>
      <c r="AD290" s="46">
        <v>3.6799999999999999E-2</v>
      </c>
      <c r="AE290" s="46">
        <v>0.98</v>
      </c>
      <c r="AF290" s="59" t="s">
        <v>1576</v>
      </c>
      <c r="AG290" s="59"/>
      <c r="AH290" s="59" t="s">
        <v>1635</v>
      </c>
    </row>
    <row r="291" spans="22:34" x14ac:dyDescent="0.25">
      <c r="V291" s="59" t="s">
        <v>1713</v>
      </c>
      <c r="W291" s="46">
        <v>2.7000000000000003E-2</v>
      </c>
      <c r="X291" s="46">
        <v>4.3999999999999997E-2</v>
      </c>
      <c r="Y291" s="46">
        <v>0.87399999999999989</v>
      </c>
      <c r="Z291" s="46">
        <v>8.5000000000000006E-2</v>
      </c>
      <c r="AA291" s="46">
        <v>5.5E-2</v>
      </c>
      <c r="AB291" s="46">
        <v>8.9999999999999993E-3</v>
      </c>
      <c r="AC291" s="46">
        <v>0.12</v>
      </c>
      <c r="AD291" s="46">
        <v>4.3200000000000009E-3</v>
      </c>
      <c r="AE291" s="46">
        <v>0.88</v>
      </c>
      <c r="AF291" s="59" t="s">
        <v>526</v>
      </c>
      <c r="AG291" s="59"/>
      <c r="AH291" s="59" t="s">
        <v>1635</v>
      </c>
    </row>
    <row r="292" spans="22:34" x14ac:dyDescent="0.25">
      <c r="V292" s="59" t="s">
        <v>1032</v>
      </c>
      <c r="W292" s="46">
        <v>0.28800000000000003</v>
      </c>
      <c r="X292" s="46">
        <v>3.7999999999999999E-2</v>
      </c>
      <c r="Y292" s="46">
        <v>0.61299999999999999</v>
      </c>
      <c r="Z292" s="46">
        <v>0.3</v>
      </c>
      <c r="AA292" s="46">
        <v>6.0999999999999999E-2</v>
      </c>
      <c r="AB292" s="46">
        <v>9.1999999999999998E-3</v>
      </c>
      <c r="AC292" s="46">
        <v>7.4999999999999997E-2</v>
      </c>
      <c r="AD292" s="46">
        <v>4.6080000000000003E-2</v>
      </c>
      <c r="AE292" s="46">
        <v>0.92500000000000004</v>
      </c>
      <c r="AF292" s="59" t="s">
        <v>1576</v>
      </c>
      <c r="AG292" s="59"/>
      <c r="AH292" s="59" t="s">
        <v>1635</v>
      </c>
    </row>
    <row r="293" spans="22:34" x14ac:dyDescent="0.25">
      <c r="V293" s="59" t="s">
        <v>1714</v>
      </c>
      <c r="W293" s="46">
        <v>0.155</v>
      </c>
      <c r="X293" s="46">
        <v>0.21</v>
      </c>
      <c r="Y293" s="46">
        <v>0.59499999999999997</v>
      </c>
      <c r="Z293" s="46">
        <v>0.3</v>
      </c>
      <c r="AA293" s="46">
        <v>0.04</v>
      </c>
      <c r="AB293" s="46">
        <v>9.1999999999999998E-3</v>
      </c>
      <c r="AC293" s="46">
        <v>2.5000000000000001E-2</v>
      </c>
      <c r="AD293" s="46">
        <v>2.4799999999999999E-2</v>
      </c>
      <c r="AE293" s="46">
        <v>0.97499999999999998</v>
      </c>
      <c r="AF293" s="59" t="s">
        <v>1576</v>
      </c>
      <c r="AG293" s="59"/>
      <c r="AH293" s="59" t="s">
        <v>1635</v>
      </c>
    </row>
    <row r="294" spans="22:34" x14ac:dyDescent="0.25">
      <c r="V294" s="59" t="s">
        <v>1715</v>
      </c>
      <c r="W294" s="46">
        <v>0.59499999999999997</v>
      </c>
      <c r="X294" s="46">
        <v>0.31</v>
      </c>
      <c r="Y294" s="46">
        <v>6.5000000000000002E-2</v>
      </c>
      <c r="Z294" s="46">
        <v>0.02</v>
      </c>
      <c r="AA294" s="46">
        <v>0.03</v>
      </c>
      <c r="AB294" s="46">
        <v>6.0000000000000001E-3</v>
      </c>
      <c r="AC294" s="46">
        <v>3.5999999999999942E-2</v>
      </c>
      <c r="AD294" s="46">
        <v>9.5199999999999993E-2</v>
      </c>
      <c r="AE294" s="46">
        <v>0.96400000000000008</v>
      </c>
      <c r="AF294" s="59" t="s">
        <v>1576</v>
      </c>
      <c r="AG294" s="59"/>
      <c r="AH294" s="59" t="s">
        <v>1635</v>
      </c>
    </row>
    <row r="295" spans="22:34" x14ac:dyDescent="0.25">
      <c r="V295" s="59" t="s">
        <v>1716</v>
      </c>
      <c r="W295" s="46">
        <v>0.371</v>
      </c>
      <c r="X295" s="46">
        <v>0.115</v>
      </c>
      <c r="Y295" s="46">
        <v>0.13</v>
      </c>
      <c r="Z295" s="46">
        <v>2.7999999999999997E-2</v>
      </c>
      <c r="AA295" s="46">
        <v>0.38400000000000001</v>
      </c>
      <c r="AB295" s="46">
        <v>6.9699999999999998E-2</v>
      </c>
      <c r="AC295" s="46">
        <v>7.0999999999999938E-2</v>
      </c>
      <c r="AD295" s="46">
        <v>5.9359999999999996E-2</v>
      </c>
      <c r="AE295" s="46">
        <v>0.92900000000000005</v>
      </c>
      <c r="AF295" s="59" t="s">
        <v>1576</v>
      </c>
      <c r="AG295" s="59"/>
      <c r="AH295" s="59" t="s">
        <v>1635</v>
      </c>
    </row>
    <row r="296" spans="22:34" x14ac:dyDescent="0.25">
      <c r="V296" s="59" t="s">
        <v>1717</v>
      </c>
      <c r="W296" s="46">
        <v>0.45299999999999996</v>
      </c>
      <c r="X296" s="46">
        <v>8.5000000000000006E-2</v>
      </c>
      <c r="Y296" s="46">
        <v>9.2000000000000026E-2</v>
      </c>
      <c r="Z296" s="46">
        <v>2.5000000000000001E-2</v>
      </c>
      <c r="AA296" s="46">
        <v>0.37</v>
      </c>
      <c r="AB296" s="46">
        <v>5.0999999999999997E-2</v>
      </c>
      <c r="AC296" s="46">
        <v>6.5000000000000002E-2</v>
      </c>
      <c r="AD296" s="46">
        <v>7.2479999999999989E-2</v>
      </c>
      <c r="AE296" s="46">
        <v>0.93500000000000005</v>
      </c>
      <c r="AF296" s="59" t="s">
        <v>1576</v>
      </c>
      <c r="AG296" s="59"/>
      <c r="AH296" s="59" t="s">
        <v>1635</v>
      </c>
    </row>
    <row r="297" spans="22:34" x14ac:dyDescent="0.25">
      <c r="V297" s="59" t="s">
        <v>1718</v>
      </c>
      <c r="W297" s="46">
        <v>0.502</v>
      </c>
      <c r="X297" s="46">
        <v>0.1</v>
      </c>
      <c r="Y297" s="46">
        <v>9.2999999999999972E-2</v>
      </c>
      <c r="Z297" s="46">
        <v>2.3E-2</v>
      </c>
      <c r="AA297" s="46">
        <v>0.30499999999999999</v>
      </c>
      <c r="AB297" s="46">
        <v>4.8399999999999999E-2</v>
      </c>
      <c r="AC297" s="46">
        <v>6.4000000000000057E-2</v>
      </c>
      <c r="AD297" s="46">
        <v>8.0320000000000003E-2</v>
      </c>
      <c r="AE297" s="46">
        <v>0.93599999999999994</v>
      </c>
      <c r="AF297" s="59" t="s">
        <v>1576</v>
      </c>
      <c r="AG297" s="59"/>
      <c r="AH297" s="59" t="s">
        <v>1635</v>
      </c>
    </row>
    <row r="298" spans="22:34" x14ac:dyDescent="0.25">
      <c r="V298" s="59" t="s">
        <v>1719</v>
      </c>
      <c r="W298" s="46">
        <v>0.54100000000000004</v>
      </c>
      <c r="X298" s="46">
        <v>7.400000000000001E-2</v>
      </c>
      <c r="Y298" s="46">
        <v>0.11899999999999998</v>
      </c>
      <c r="Z298" s="46">
        <v>2.4E-2</v>
      </c>
      <c r="AA298" s="46">
        <v>0.26600000000000001</v>
      </c>
      <c r="AB298" s="46">
        <v>4.87E-2</v>
      </c>
      <c r="AC298" s="46">
        <v>0.05</v>
      </c>
      <c r="AD298" s="46">
        <v>8.6560000000000012E-2</v>
      </c>
      <c r="AE298" s="46">
        <v>0.95</v>
      </c>
      <c r="AF298" s="59" t="s">
        <v>1576</v>
      </c>
      <c r="AG298" s="59"/>
      <c r="AH298" s="59" t="s">
        <v>1635</v>
      </c>
    </row>
    <row r="299" spans="22:34" x14ac:dyDescent="0.25">
      <c r="V299" s="59" t="s">
        <v>1720</v>
      </c>
      <c r="W299" s="46">
        <v>0.60799999999999998</v>
      </c>
      <c r="X299" s="46">
        <v>7.9000000000000001E-2</v>
      </c>
      <c r="Y299" s="46">
        <v>8.6000000000000049E-2</v>
      </c>
      <c r="Z299" s="46">
        <v>2.3E-2</v>
      </c>
      <c r="AA299" s="46">
        <v>0.22699999999999998</v>
      </c>
      <c r="AB299" s="46">
        <v>4.6399999999999997E-2</v>
      </c>
      <c r="AC299" s="46">
        <v>3.9000000000000055E-2</v>
      </c>
      <c r="AD299" s="46">
        <v>9.7279999999999991E-2</v>
      </c>
      <c r="AE299" s="46">
        <v>0.96099999999999997</v>
      </c>
      <c r="AF299" s="59" t="s">
        <v>1576</v>
      </c>
      <c r="AG299" s="59"/>
      <c r="AH299" s="59" t="s">
        <v>1635</v>
      </c>
    </row>
    <row r="300" spans="22:34" x14ac:dyDescent="0.25">
      <c r="V300" s="59" t="s">
        <v>1721</v>
      </c>
      <c r="W300" s="46">
        <v>0.67200000000000004</v>
      </c>
      <c r="X300" s="46">
        <v>0.10099999999999999</v>
      </c>
      <c r="Y300" s="46">
        <v>7.6999999999999957E-2</v>
      </c>
      <c r="Z300" s="46">
        <v>0</v>
      </c>
      <c r="AA300" s="46">
        <v>0.15</v>
      </c>
      <c r="AB300" s="46">
        <v>2.1000000000000001E-2</v>
      </c>
      <c r="AC300" s="46">
        <v>7.0000000000000007E-2</v>
      </c>
      <c r="AD300" s="46">
        <v>0.10752</v>
      </c>
      <c r="AE300" s="46">
        <v>0.93</v>
      </c>
      <c r="AF300" s="59" t="s">
        <v>526</v>
      </c>
      <c r="AG300" s="59"/>
      <c r="AH300" s="59" t="s">
        <v>1635</v>
      </c>
    </row>
    <row r="301" spans="22:34" x14ac:dyDescent="0.25">
      <c r="V301" s="59" t="s">
        <v>1722</v>
      </c>
      <c r="W301" s="46">
        <v>0.5</v>
      </c>
      <c r="X301" s="46">
        <v>0.05</v>
      </c>
      <c r="Y301" s="46">
        <v>0.12399999999999999</v>
      </c>
      <c r="Z301" s="46">
        <v>5.5000000000001133E-3</v>
      </c>
      <c r="AA301" s="46">
        <v>0.32600000000000001</v>
      </c>
      <c r="AB301" s="46">
        <v>4.8499999999999995E-2</v>
      </c>
      <c r="AC301" s="46">
        <v>7.0000000000000007E-2</v>
      </c>
      <c r="AD301" s="46">
        <v>0.08</v>
      </c>
      <c r="AE301" s="46">
        <v>0.93</v>
      </c>
      <c r="AF301" s="59" t="s">
        <v>526</v>
      </c>
      <c r="AG301" s="59"/>
      <c r="AH301" s="59" t="s">
        <v>1635</v>
      </c>
    </row>
    <row r="302" spans="22:34" x14ac:dyDescent="0.25">
      <c r="V302" s="59" t="s">
        <v>1723</v>
      </c>
      <c r="W302" s="46">
        <v>0.6</v>
      </c>
      <c r="X302" s="46">
        <v>0.04</v>
      </c>
      <c r="Y302" s="46">
        <v>0.13500000000000001</v>
      </c>
      <c r="Z302" s="46">
        <v>3.1500000000000056E-2</v>
      </c>
      <c r="AA302" s="46">
        <v>0.22500000000000001</v>
      </c>
      <c r="AB302" s="46">
        <v>3.3500000000000002E-2</v>
      </c>
      <c r="AC302" s="46">
        <v>7.0000000000000007E-2</v>
      </c>
      <c r="AD302" s="46">
        <v>9.6000000000000002E-2</v>
      </c>
      <c r="AE302" s="46">
        <v>0.93</v>
      </c>
      <c r="AF302" s="59" t="s">
        <v>526</v>
      </c>
      <c r="AG302" s="59"/>
      <c r="AH302" s="59" t="s">
        <v>1635</v>
      </c>
    </row>
    <row r="303" spans="22:34" x14ac:dyDescent="0.25">
      <c r="V303" s="59" t="s">
        <v>1724</v>
      </c>
      <c r="W303" s="46">
        <v>0.55600000000000005</v>
      </c>
      <c r="X303" s="46">
        <v>5.5999999999999994E-2</v>
      </c>
      <c r="Y303" s="46">
        <v>0.11799999999999997</v>
      </c>
      <c r="Z303" s="46">
        <v>2.3E-2</v>
      </c>
      <c r="AA303" s="46">
        <v>0.27</v>
      </c>
      <c r="AB303" s="46">
        <v>5.0999999999999997E-2</v>
      </c>
      <c r="AC303" s="46">
        <v>6.5000000000000002E-2</v>
      </c>
      <c r="AD303" s="46">
        <v>8.8960000000000011E-2</v>
      </c>
      <c r="AE303" s="46">
        <v>0.93500000000000005</v>
      </c>
      <c r="AF303" s="59" t="s">
        <v>1576</v>
      </c>
      <c r="AG303" s="59"/>
      <c r="AH303" s="59" t="s">
        <v>1635</v>
      </c>
    </row>
    <row r="304" spans="22:34" x14ac:dyDescent="0.25">
      <c r="V304" s="59" t="s">
        <v>1725</v>
      </c>
      <c r="W304" s="46">
        <v>0.71</v>
      </c>
      <c r="X304" s="46">
        <v>0.1</v>
      </c>
      <c r="Y304" s="46">
        <v>0.12</v>
      </c>
      <c r="Z304" s="46">
        <v>0.01</v>
      </c>
      <c r="AA304" s="46">
        <v>7.0000000000000007E-2</v>
      </c>
      <c r="AB304" s="46">
        <v>0.01</v>
      </c>
      <c r="AC304" s="46">
        <v>5.5E-2</v>
      </c>
      <c r="AD304" s="46">
        <v>0.11359999999999999</v>
      </c>
      <c r="AE304" s="46">
        <v>0.94499999999999995</v>
      </c>
      <c r="AF304" s="59" t="s">
        <v>1576</v>
      </c>
      <c r="AG304" s="59"/>
      <c r="AH304" s="59" t="s">
        <v>1635</v>
      </c>
    </row>
    <row r="305" spans="22:34" x14ac:dyDescent="0.25">
      <c r="V305" s="59" t="s">
        <v>1726</v>
      </c>
      <c r="W305" s="46">
        <v>0.33</v>
      </c>
      <c r="X305" s="46">
        <v>6.0000000000000001E-3</v>
      </c>
      <c r="Y305" s="46">
        <v>0.58500000000000008</v>
      </c>
      <c r="Z305" s="46">
        <v>0</v>
      </c>
      <c r="AA305" s="46">
        <v>7.9000000000000001E-2</v>
      </c>
      <c r="AB305" s="46">
        <v>1.2E-2</v>
      </c>
      <c r="AC305" s="46">
        <v>7.4000000000000052E-2</v>
      </c>
      <c r="AD305" s="46">
        <v>5.28E-2</v>
      </c>
      <c r="AE305" s="46">
        <v>0.92599999999999993</v>
      </c>
      <c r="AF305" s="59" t="s">
        <v>1576</v>
      </c>
      <c r="AG305" s="59"/>
      <c r="AH305" s="59" t="s">
        <v>1635</v>
      </c>
    </row>
    <row r="306" spans="22:34" x14ac:dyDescent="0.25">
      <c r="V306" s="59" t="s">
        <v>1727</v>
      </c>
      <c r="W306" s="46">
        <v>0.24600000000000002</v>
      </c>
      <c r="X306" s="46">
        <v>0.26400000000000001</v>
      </c>
      <c r="Y306" s="46">
        <v>0.42900000000000005</v>
      </c>
      <c r="Z306" s="46">
        <v>1E-3</v>
      </c>
      <c r="AA306" s="46">
        <v>6.0999999999999999E-2</v>
      </c>
      <c r="AB306" s="46">
        <v>0.01</v>
      </c>
      <c r="AC306" s="46">
        <v>3.9000000000000055E-2</v>
      </c>
      <c r="AD306" s="46">
        <v>3.9360000000000006E-2</v>
      </c>
      <c r="AE306" s="46">
        <v>0.96099999999999997</v>
      </c>
      <c r="AF306" s="59" t="s">
        <v>1576</v>
      </c>
      <c r="AG306" s="59"/>
      <c r="AH306" s="59" t="s">
        <v>1635</v>
      </c>
    </row>
    <row r="307" spans="22:34" x14ac:dyDescent="0.25">
      <c r="V307" s="59" t="s">
        <v>1728</v>
      </c>
      <c r="W307" s="46">
        <v>0.113</v>
      </c>
      <c r="X307" s="46">
        <v>3.6000000000000004E-2</v>
      </c>
      <c r="Y307" s="46">
        <v>0.82600000000000007</v>
      </c>
      <c r="Z307" s="46">
        <v>4.5999999999999999E-2</v>
      </c>
      <c r="AA307" s="46">
        <v>2.5000000000000001E-2</v>
      </c>
      <c r="AB307" s="46">
        <v>3.0999999999999999E-3</v>
      </c>
      <c r="AC307" s="46">
        <v>0.11099999999999995</v>
      </c>
      <c r="AD307" s="46">
        <v>1.8079999999999999E-2</v>
      </c>
      <c r="AE307" s="46">
        <v>0.88900000000000001</v>
      </c>
      <c r="AF307" s="59" t="s">
        <v>1576</v>
      </c>
      <c r="AG307" s="59"/>
      <c r="AH307" s="59" t="s">
        <v>1635</v>
      </c>
    </row>
    <row r="308" spans="22:34" x14ac:dyDescent="0.25">
      <c r="V308" s="59" t="s">
        <v>1729</v>
      </c>
      <c r="W308" s="46">
        <v>0.02</v>
      </c>
      <c r="X308" s="46">
        <v>3.0000000000000001E-3</v>
      </c>
      <c r="Y308" s="46">
        <v>0.22700000000000004</v>
      </c>
      <c r="Z308" s="46">
        <v>2E-3</v>
      </c>
      <c r="AA308" s="46">
        <v>0.75</v>
      </c>
      <c r="AB308" s="46">
        <v>2.0000000000000001E-4</v>
      </c>
      <c r="AC308" s="46">
        <v>0.11</v>
      </c>
      <c r="AD308" s="46">
        <v>3.2000000000000002E-3</v>
      </c>
      <c r="AE308" s="46">
        <v>0.89</v>
      </c>
      <c r="AF308" s="59" t="s">
        <v>1576</v>
      </c>
      <c r="AG308" s="59"/>
      <c r="AH308" s="59" t="s">
        <v>1635</v>
      </c>
    </row>
    <row r="309" spans="22:34" x14ac:dyDescent="0.25">
      <c r="V309" s="59" t="s">
        <v>1730</v>
      </c>
      <c r="W309" s="46">
        <v>0.02</v>
      </c>
      <c r="X309" s="46">
        <v>3.0000000000000001E-3</v>
      </c>
      <c r="Y309" s="46">
        <v>0.22700000000000004</v>
      </c>
      <c r="Z309" s="46">
        <v>2E-3</v>
      </c>
      <c r="AA309" s="46">
        <v>0.75</v>
      </c>
      <c r="AB309" s="46">
        <v>2.0000000000000001E-4</v>
      </c>
      <c r="AC309" s="46">
        <v>0.11</v>
      </c>
      <c r="AD309" s="46">
        <v>3.2000000000000002E-3</v>
      </c>
      <c r="AE309" s="46">
        <v>0.89</v>
      </c>
      <c r="AF309" s="59" t="s">
        <v>1576</v>
      </c>
      <c r="AG309" s="59"/>
      <c r="AH309" s="59" t="s">
        <v>1635</v>
      </c>
    </row>
    <row r="310" spans="22:34" x14ac:dyDescent="0.25">
      <c r="V310" s="59" t="s">
        <v>1731</v>
      </c>
      <c r="W310" s="46">
        <v>0.02</v>
      </c>
      <c r="X310" s="46">
        <v>3.0000000000000001E-3</v>
      </c>
      <c r="Y310" s="46">
        <v>0.22700000000000004</v>
      </c>
      <c r="Z310" s="46">
        <v>2E-3</v>
      </c>
      <c r="AA310" s="46">
        <v>0.75</v>
      </c>
      <c r="AB310" s="46">
        <v>2.0000000000000001E-4</v>
      </c>
      <c r="AC310" s="46">
        <v>0.11</v>
      </c>
      <c r="AD310" s="46">
        <v>3.2000000000000002E-3</v>
      </c>
      <c r="AE310" s="46">
        <v>0.89</v>
      </c>
      <c r="AF310" s="59" t="s">
        <v>1576</v>
      </c>
      <c r="AG310" s="59"/>
      <c r="AH310" s="59" t="s">
        <v>1635</v>
      </c>
    </row>
    <row r="311" spans="22:34" x14ac:dyDescent="0.25">
      <c r="V311" s="59" t="s">
        <v>1732</v>
      </c>
      <c r="W311" s="46">
        <v>0.02</v>
      </c>
      <c r="X311" s="46">
        <v>3.0000000000000001E-3</v>
      </c>
      <c r="Y311" s="46">
        <v>0.22700000000000004</v>
      </c>
      <c r="Z311" s="46">
        <v>2E-3</v>
      </c>
      <c r="AA311" s="46">
        <v>0.75</v>
      </c>
      <c r="AB311" s="46">
        <v>2.0000000000000001E-4</v>
      </c>
      <c r="AC311" s="46">
        <v>0.11</v>
      </c>
      <c r="AD311" s="46">
        <v>3.2000000000000002E-3</v>
      </c>
      <c r="AE311" s="46">
        <v>0.89</v>
      </c>
      <c r="AF311" s="59" t="s">
        <v>1576</v>
      </c>
      <c r="AG311" s="59"/>
      <c r="AH311" s="59" t="s">
        <v>1635</v>
      </c>
    </row>
    <row r="312" spans="22:34" x14ac:dyDescent="0.25">
      <c r="V312" s="59" t="s">
        <v>1733</v>
      </c>
      <c r="W312" s="46">
        <v>0.02</v>
      </c>
      <c r="X312" s="46">
        <v>3.0000000000000001E-3</v>
      </c>
      <c r="Y312" s="46">
        <v>0.22700000000000004</v>
      </c>
      <c r="Z312" s="46">
        <v>2E-3</v>
      </c>
      <c r="AA312" s="46">
        <v>0.75</v>
      </c>
      <c r="AB312" s="46">
        <v>2.0000000000000001E-4</v>
      </c>
      <c r="AC312" s="46">
        <v>0.11</v>
      </c>
      <c r="AD312" s="46">
        <v>3.2000000000000002E-3</v>
      </c>
      <c r="AE312" s="46">
        <v>0.89</v>
      </c>
      <c r="AF312" s="59" t="s">
        <v>1576</v>
      </c>
      <c r="AG312" s="59"/>
      <c r="AH312" s="59" t="s">
        <v>1635</v>
      </c>
    </row>
    <row r="313" spans="22:34" x14ac:dyDescent="0.25">
      <c r="V313" s="59" t="s">
        <v>1734</v>
      </c>
      <c r="W313" s="46">
        <v>0.02</v>
      </c>
      <c r="X313" s="46">
        <v>3.0000000000000001E-3</v>
      </c>
      <c r="Y313" s="46">
        <v>0.22700000000000004</v>
      </c>
      <c r="Z313" s="46">
        <v>2E-3</v>
      </c>
      <c r="AA313" s="46">
        <v>0.75</v>
      </c>
      <c r="AB313" s="46">
        <v>2.0000000000000001E-4</v>
      </c>
      <c r="AC313" s="46">
        <v>0.11</v>
      </c>
      <c r="AD313" s="46">
        <v>3.2000000000000002E-3</v>
      </c>
      <c r="AE313" s="46">
        <v>0.89</v>
      </c>
      <c r="AF313" s="59" t="s">
        <v>1576</v>
      </c>
      <c r="AG313" s="59"/>
      <c r="AH313" s="59" t="s">
        <v>1635</v>
      </c>
    </row>
    <row r="314" spans="22:34" x14ac:dyDescent="0.25">
      <c r="V314" s="59" t="s">
        <v>1735</v>
      </c>
      <c r="W314" s="46">
        <v>0.02</v>
      </c>
      <c r="X314" s="46">
        <v>3.0000000000000001E-3</v>
      </c>
      <c r="Y314" s="46">
        <v>0.22700000000000004</v>
      </c>
      <c r="Z314" s="46">
        <v>2E-3</v>
      </c>
      <c r="AA314" s="46">
        <v>0.75</v>
      </c>
      <c r="AB314" s="46">
        <v>2.0000000000000001E-4</v>
      </c>
      <c r="AC314" s="46">
        <v>0.11</v>
      </c>
      <c r="AD314" s="46">
        <v>3.2000000000000002E-3</v>
      </c>
      <c r="AE314" s="46">
        <v>0.89</v>
      </c>
      <c r="AF314" s="59" t="s">
        <v>1576</v>
      </c>
      <c r="AG314" s="59"/>
      <c r="AH314" s="59" t="s">
        <v>1635</v>
      </c>
    </row>
    <row r="315" spans="22:34" x14ac:dyDescent="0.25">
      <c r="V315" s="59" t="s">
        <v>1736</v>
      </c>
      <c r="W315" s="46">
        <v>0.02</v>
      </c>
      <c r="X315" s="46">
        <v>3.0000000000000001E-3</v>
      </c>
      <c r="Y315" s="46">
        <v>0.22700000000000004</v>
      </c>
      <c r="Z315" s="46">
        <v>2E-3</v>
      </c>
      <c r="AA315" s="46">
        <v>0.75</v>
      </c>
      <c r="AB315" s="46">
        <v>2.0000000000000001E-4</v>
      </c>
      <c r="AC315" s="46">
        <v>0.11</v>
      </c>
      <c r="AD315" s="46">
        <v>3.2000000000000002E-3</v>
      </c>
      <c r="AE315" s="46">
        <v>0.89</v>
      </c>
      <c r="AF315" s="59" t="s">
        <v>1576</v>
      </c>
      <c r="AG315" s="59"/>
      <c r="AH315" s="59" t="s">
        <v>1635</v>
      </c>
    </row>
    <row r="316" spans="22:34" x14ac:dyDescent="0.25">
      <c r="V316" s="59" t="s">
        <v>1737</v>
      </c>
      <c r="W316" s="46">
        <v>0.02</v>
      </c>
      <c r="X316" s="46">
        <v>3.0000000000000001E-3</v>
      </c>
      <c r="Y316" s="46">
        <v>0.22700000000000004</v>
      </c>
      <c r="Z316" s="46">
        <v>2E-3</v>
      </c>
      <c r="AA316" s="46">
        <v>0.75</v>
      </c>
      <c r="AB316" s="46">
        <v>2.0000000000000001E-4</v>
      </c>
      <c r="AC316" s="46">
        <v>0.11</v>
      </c>
      <c r="AD316" s="46">
        <v>3.2000000000000002E-3</v>
      </c>
      <c r="AE316" s="46">
        <v>0.89</v>
      </c>
      <c r="AF316" s="59" t="s">
        <v>1576</v>
      </c>
      <c r="AG316" s="59"/>
      <c r="AH316" s="59" t="s">
        <v>1635</v>
      </c>
    </row>
    <row r="317" spans="22:34" x14ac:dyDescent="0.25">
      <c r="V317" s="59" t="s">
        <v>1738</v>
      </c>
      <c r="W317" s="46">
        <v>0.02</v>
      </c>
      <c r="X317" s="46">
        <v>3.0000000000000001E-3</v>
      </c>
      <c r="Y317" s="46">
        <v>0.22700000000000004</v>
      </c>
      <c r="Z317" s="46">
        <v>2E-3</v>
      </c>
      <c r="AA317" s="46">
        <v>0.75</v>
      </c>
      <c r="AB317" s="46">
        <v>2.0000000000000001E-4</v>
      </c>
      <c r="AC317" s="46">
        <v>0.11</v>
      </c>
      <c r="AD317" s="46">
        <v>3.2000000000000002E-3</v>
      </c>
      <c r="AE317" s="46">
        <v>0.89</v>
      </c>
      <c r="AF317" s="59" t="s">
        <v>1576</v>
      </c>
      <c r="AG317" s="59"/>
      <c r="AH317" s="59" t="s">
        <v>1635</v>
      </c>
    </row>
    <row r="318" spans="22:34" x14ac:dyDescent="0.25">
      <c r="V318" s="59" t="s">
        <v>1739</v>
      </c>
      <c r="W318" s="46">
        <v>0.02</v>
      </c>
      <c r="X318" s="46">
        <v>3.0000000000000001E-3</v>
      </c>
      <c r="Y318" s="46">
        <v>0.22700000000000004</v>
      </c>
      <c r="Z318" s="46">
        <v>2E-3</v>
      </c>
      <c r="AA318" s="46">
        <v>0.75</v>
      </c>
      <c r="AB318" s="46">
        <v>2.0000000000000001E-4</v>
      </c>
      <c r="AC318" s="46">
        <v>0.11</v>
      </c>
      <c r="AD318" s="46">
        <v>3.2000000000000002E-3</v>
      </c>
      <c r="AE318" s="46">
        <v>0.89</v>
      </c>
      <c r="AF318" s="59" t="s">
        <v>1576</v>
      </c>
      <c r="AG318" s="59"/>
      <c r="AH318" s="59" t="s">
        <v>1635</v>
      </c>
    </row>
    <row r="319" spans="22:34" x14ac:dyDescent="0.25">
      <c r="V319" s="59" t="s">
        <v>1581</v>
      </c>
      <c r="W319" s="46">
        <v>0.02</v>
      </c>
      <c r="X319" s="46">
        <v>3.0000000000000001E-3</v>
      </c>
      <c r="Y319" s="46">
        <v>0.22700000000000004</v>
      </c>
      <c r="Z319" s="46">
        <v>2E-3</v>
      </c>
      <c r="AA319" s="46">
        <v>0.75</v>
      </c>
      <c r="AB319" s="46">
        <v>2.0000000000000001E-4</v>
      </c>
      <c r="AC319" s="46">
        <v>0.11</v>
      </c>
      <c r="AD319" s="46">
        <v>3.2000000000000002E-3</v>
      </c>
      <c r="AE319" s="46">
        <v>0.89</v>
      </c>
      <c r="AF319" s="59" t="s">
        <v>1576</v>
      </c>
      <c r="AG319" s="59"/>
      <c r="AH319" s="59" t="s">
        <v>1635</v>
      </c>
    </row>
    <row r="320" spans="22:34" x14ac:dyDescent="0.25">
      <c r="V320" s="59" t="s">
        <v>1582</v>
      </c>
      <c r="W320" s="46">
        <v>0.02</v>
      </c>
      <c r="X320" s="46">
        <v>3.0000000000000001E-3</v>
      </c>
      <c r="Y320" s="46">
        <v>0.22700000000000004</v>
      </c>
      <c r="Z320" s="46">
        <v>2E-3</v>
      </c>
      <c r="AA320" s="46">
        <v>0.75</v>
      </c>
      <c r="AB320" s="46">
        <v>2.0000000000000001E-4</v>
      </c>
      <c r="AC320" s="46">
        <v>0.11</v>
      </c>
      <c r="AD320" s="46">
        <v>3.2000000000000002E-3</v>
      </c>
      <c r="AE320" s="46">
        <v>0.89</v>
      </c>
      <c r="AF320" s="59" t="s">
        <v>1576</v>
      </c>
      <c r="AG320" s="59"/>
      <c r="AH320" s="59" t="s">
        <v>1635</v>
      </c>
    </row>
    <row r="321" spans="22:34" x14ac:dyDescent="0.25">
      <c r="V321" s="59" t="s">
        <v>1583</v>
      </c>
      <c r="W321" s="46">
        <v>0.02</v>
      </c>
      <c r="X321" s="46">
        <v>3.0000000000000001E-3</v>
      </c>
      <c r="Y321" s="46">
        <v>0.22700000000000004</v>
      </c>
      <c r="Z321" s="46">
        <v>2E-3</v>
      </c>
      <c r="AA321" s="46">
        <v>0.75</v>
      </c>
      <c r="AB321" s="46">
        <v>2.0000000000000001E-4</v>
      </c>
      <c r="AC321" s="46">
        <v>0.11</v>
      </c>
      <c r="AD321" s="46">
        <v>3.2000000000000002E-3</v>
      </c>
      <c r="AE321" s="46">
        <v>0.89</v>
      </c>
      <c r="AF321" s="59" t="s">
        <v>1576</v>
      </c>
      <c r="AG321" s="59"/>
      <c r="AH321" s="59" t="s">
        <v>1635</v>
      </c>
    </row>
    <row r="322" spans="22:34" x14ac:dyDescent="0.25">
      <c r="V322" s="59" t="s">
        <v>1584</v>
      </c>
      <c r="W322" s="46">
        <v>0.02</v>
      </c>
      <c r="X322" s="46">
        <v>3.0000000000000001E-3</v>
      </c>
      <c r="Y322" s="46">
        <v>0.22700000000000004</v>
      </c>
      <c r="Z322" s="46">
        <v>2E-3</v>
      </c>
      <c r="AA322" s="46">
        <v>0.75</v>
      </c>
      <c r="AB322" s="46">
        <v>2.0000000000000001E-4</v>
      </c>
      <c r="AC322" s="46">
        <v>0.11</v>
      </c>
      <c r="AD322" s="46">
        <v>3.2000000000000002E-3</v>
      </c>
      <c r="AE322" s="46">
        <v>0.89</v>
      </c>
      <c r="AF322" s="59" t="s">
        <v>1576</v>
      </c>
      <c r="AG322" s="59"/>
      <c r="AH322" s="59" t="s">
        <v>1635</v>
      </c>
    </row>
    <row r="323" spans="22:34" x14ac:dyDescent="0.25">
      <c r="V323" s="59" t="s">
        <v>1585</v>
      </c>
      <c r="W323" s="46">
        <v>0.02</v>
      </c>
      <c r="X323" s="46">
        <v>3.0000000000000001E-3</v>
      </c>
      <c r="Y323" s="46">
        <v>0.22700000000000004</v>
      </c>
      <c r="Z323" s="46">
        <v>2E-3</v>
      </c>
      <c r="AA323" s="46">
        <v>0.75</v>
      </c>
      <c r="AB323" s="46">
        <v>2.0000000000000001E-4</v>
      </c>
      <c r="AC323" s="46">
        <v>0.11</v>
      </c>
      <c r="AD323" s="46">
        <v>3.2000000000000002E-3</v>
      </c>
      <c r="AE323" s="46">
        <v>0.89</v>
      </c>
      <c r="AF323" s="59" t="s">
        <v>1576</v>
      </c>
      <c r="AG323" s="59"/>
      <c r="AH323" s="59" t="s">
        <v>1635</v>
      </c>
    </row>
    <row r="324" spans="22:34" x14ac:dyDescent="0.25">
      <c r="V324" s="59" t="s">
        <v>985</v>
      </c>
      <c r="W324" s="46">
        <v>0.02</v>
      </c>
      <c r="X324" s="46">
        <v>3.0000000000000001E-3</v>
      </c>
      <c r="Y324" s="46">
        <v>0.22700000000000004</v>
      </c>
      <c r="Z324" s="46">
        <v>2E-3</v>
      </c>
      <c r="AA324" s="46">
        <v>0.75</v>
      </c>
      <c r="AB324" s="46">
        <v>2.0000000000000001E-4</v>
      </c>
      <c r="AC324" s="46">
        <v>0.05</v>
      </c>
      <c r="AD324" s="46">
        <v>3.2000000000000002E-3</v>
      </c>
      <c r="AE324" s="46">
        <v>0.95</v>
      </c>
      <c r="AF324" s="59" t="s">
        <v>1576</v>
      </c>
      <c r="AG324" s="59"/>
      <c r="AH324" s="59" t="s">
        <v>1635</v>
      </c>
    </row>
    <row r="325" spans="22:34" x14ac:dyDescent="0.25">
      <c r="V325" s="59" t="s">
        <v>986</v>
      </c>
      <c r="W325" s="46">
        <v>0.02</v>
      </c>
      <c r="X325" s="46">
        <v>3.0000000000000001E-3</v>
      </c>
      <c r="Y325" s="46">
        <v>0.22700000000000004</v>
      </c>
      <c r="Z325" s="46">
        <v>2E-3</v>
      </c>
      <c r="AA325" s="46">
        <v>0.75</v>
      </c>
      <c r="AB325" s="46">
        <v>2.0000000000000001E-4</v>
      </c>
      <c r="AC325" s="46">
        <v>0.05</v>
      </c>
      <c r="AD325" s="46">
        <v>3.2000000000000002E-3</v>
      </c>
      <c r="AE325" s="46">
        <v>0.95</v>
      </c>
      <c r="AF325" s="59" t="s">
        <v>1576</v>
      </c>
      <c r="AG325" s="59"/>
      <c r="AH325" s="59" t="s">
        <v>1635</v>
      </c>
    </row>
    <row r="326" spans="22:34" x14ac:dyDescent="0.25">
      <c r="V326" s="59" t="s">
        <v>982</v>
      </c>
      <c r="W326" s="46">
        <v>0.02</v>
      </c>
      <c r="X326" s="46">
        <v>3.0000000000000001E-3</v>
      </c>
      <c r="Y326" s="46">
        <v>0.22700000000000004</v>
      </c>
      <c r="Z326" s="46">
        <v>2E-3</v>
      </c>
      <c r="AA326" s="46">
        <v>0.75</v>
      </c>
      <c r="AB326" s="46">
        <v>2.0000000000000001E-4</v>
      </c>
      <c r="AC326" s="46">
        <v>0.05</v>
      </c>
      <c r="AD326" s="46">
        <v>3.2000000000000002E-3</v>
      </c>
      <c r="AE326" s="46">
        <v>0.95</v>
      </c>
      <c r="AF326" s="59" t="s">
        <v>1576</v>
      </c>
      <c r="AG326" s="59"/>
      <c r="AH326" s="59" t="s">
        <v>1635</v>
      </c>
    </row>
    <row r="327" spans="22:34" x14ac:dyDescent="0.25">
      <c r="V327" s="59" t="s">
        <v>981</v>
      </c>
      <c r="W327" s="46">
        <v>0.02</v>
      </c>
      <c r="X327" s="46">
        <v>3.0000000000000001E-3</v>
      </c>
      <c r="Y327" s="46">
        <v>0.22700000000000004</v>
      </c>
      <c r="Z327" s="46">
        <v>2E-3</v>
      </c>
      <c r="AA327" s="46">
        <v>0.75</v>
      </c>
      <c r="AB327" s="46">
        <v>2.0000000000000001E-4</v>
      </c>
      <c r="AC327" s="46">
        <v>0.05</v>
      </c>
      <c r="AD327" s="46">
        <v>3.2000000000000002E-3</v>
      </c>
      <c r="AE327" s="46">
        <v>0.95</v>
      </c>
      <c r="AF327" s="59" t="s">
        <v>1576</v>
      </c>
      <c r="AG327" s="59"/>
      <c r="AH327" s="59" t="s">
        <v>1635</v>
      </c>
    </row>
    <row r="328" spans="22:34" x14ac:dyDescent="0.25">
      <c r="V328" s="59" t="s">
        <v>983</v>
      </c>
      <c r="W328" s="46">
        <v>0.02</v>
      </c>
      <c r="X328" s="46">
        <v>3.0000000000000001E-3</v>
      </c>
      <c r="Y328" s="46">
        <v>0.22700000000000004</v>
      </c>
      <c r="Z328" s="46">
        <v>2E-3</v>
      </c>
      <c r="AA328" s="46">
        <v>0.75</v>
      </c>
      <c r="AB328" s="46">
        <v>2.0000000000000001E-4</v>
      </c>
      <c r="AC328" s="46">
        <v>0.05</v>
      </c>
      <c r="AD328" s="46">
        <v>3.2000000000000002E-3</v>
      </c>
      <c r="AE328" s="46">
        <v>0.95</v>
      </c>
      <c r="AF328" s="59" t="s">
        <v>1576</v>
      </c>
      <c r="AG328" s="59"/>
      <c r="AH328" s="59" t="s">
        <v>1635</v>
      </c>
    </row>
    <row r="329" spans="22:34" x14ac:dyDescent="0.25">
      <c r="V329" s="59" t="s">
        <v>984</v>
      </c>
      <c r="W329" s="46">
        <v>0.02</v>
      </c>
      <c r="X329" s="46">
        <v>3.0000000000000001E-3</v>
      </c>
      <c r="Y329" s="46">
        <v>0.22700000000000004</v>
      </c>
      <c r="Z329" s="46">
        <v>2E-3</v>
      </c>
      <c r="AA329" s="46">
        <v>0.75</v>
      </c>
      <c r="AB329" s="46">
        <v>2.0000000000000001E-4</v>
      </c>
      <c r="AC329" s="46">
        <v>0.05</v>
      </c>
      <c r="AD329" s="46">
        <v>3.2000000000000002E-3</v>
      </c>
      <c r="AE329" s="46">
        <v>0.95</v>
      </c>
      <c r="AF329" s="59" t="s">
        <v>1576</v>
      </c>
      <c r="AG329" s="59"/>
      <c r="AH329" s="59" t="s">
        <v>1635</v>
      </c>
    </row>
    <row r="330" spans="22:34" x14ac:dyDescent="0.25">
      <c r="V330" s="59" t="s">
        <v>980</v>
      </c>
      <c r="W330" s="46">
        <v>0.09</v>
      </c>
      <c r="X330" s="46">
        <v>3.0000000000000001E-3</v>
      </c>
      <c r="Y330" s="46">
        <v>0.15700000000000003</v>
      </c>
      <c r="Z330" s="46">
        <v>0.02</v>
      </c>
      <c r="AA330" s="46">
        <v>0.75</v>
      </c>
      <c r="AB330" s="46">
        <v>2.0000000000000001E-4</v>
      </c>
      <c r="AC330" s="46">
        <v>0.01</v>
      </c>
      <c r="AD330" s="46">
        <v>1.44E-2</v>
      </c>
      <c r="AE330" s="46">
        <v>0.99</v>
      </c>
      <c r="AF330" s="59" t="s">
        <v>1576</v>
      </c>
      <c r="AG330" s="59"/>
      <c r="AH330" s="59" t="s">
        <v>1635</v>
      </c>
    </row>
    <row r="331" spans="22:34" x14ac:dyDescent="0.25">
      <c r="V331" s="59" t="s">
        <v>1586</v>
      </c>
      <c r="W331" s="46">
        <v>0.02</v>
      </c>
      <c r="X331" s="46">
        <v>3.0000000000000001E-3</v>
      </c>
      <c r="Y331" s="46">
        <v>0.22700000000000004</v>
      </c>
      <c r="Z331" s="46">
        <v>2E-3</v>
      </c>
      <c r="AA331" s="46">
        <v>0.75</v>
      </c>
      <c r="AB331" s="46">
        <v>2.0000000000000001E-4</v>
      </c>
      <c r="AC331" s="46">
        <v>0.05</v>
      </c>
      <c r="AD331" s="46">
        <v>3.2000000000000002E-3</v>
      </c>
      <c r="AE331" s="46">
        <v>0.95</v>
      </c>
      <c r="AF331" s="59" t="s">
        <v>1576</v>
      </c>
      <c r="AG331" s="59"/>
      <c r="AH331" s="59" t="s">
        <v>1635</v>
      </c>
    </row>
    <row r="332" spans="22:34" x14ac:dyDescent="0.25">
      <c r="V332" s="59" t="s">
        <v>1587</v>
      </c>
      <c r="W332" s="46">
        <v>0.02</v>
      </c>
      <c r="X332" s="46">
        <v>3.0000000000000001E-3</v>
      </c>
      <c r="Y332" s="46">
        <v>0.22700000000000004</v>
      </c>
      <c r="Z332" s="46">
        <v>2E-3</v>
      </c>
      <c r="AA332" s="46">
        <v>0.75</v>
      </c>
      <c r="AB332" s="46">
        <v>2.0000000000000001E-4</v>
      </c>
      <c r="AC332" s="46">
        <v>0.05</v>
      </c>
      <c r="AD332" s="46">
        <v>3.2000000000000002E-3</v>
      </c>
      <c r="AE332" s="46">
        <v>0.95</v>
      </c>
      <c r="AF332" s="59" t="s">
        <v>1576</v>
      </c>
      <c r="AG332" s="59"/>
      <c r="AH332" s="59" t="s">
        <v>1635</v>
      </c>
    </row>
    <row r="333" spans="22:34" x14ac:dyDescent="0.25">
      <c r="V333" s="59" t="s">
        <v>754</v>
      </c>
      <c r="W333" s="46">
        <v>5.5E-2</v>
      </c>
      <c r="X333" s="46">
        <v>0.02</v>
      </c>
      <c r="Y333" s="46">
        <v>0.81799999999999995</v>
      </c>
      <c r="Z333" s="46">
        <v>0.04</v>
      </c>
      <c r="AA333" s="46">
        <v>0.107</v>
      </c>
      <c r="AB333" s="46">
        <v>7.000000000000001E-4</v>
      </c>
      <c r="AC333" s="46">
        <v>0.15799999999999997</v>
      </c>
      <c r="AD333" s="46">
        <v>8.8000000000000005E-3</v>
      </c>
      <c r="AE333" s="46">
        <v>0.84200000000000008</v>
      </c>
      <c r="AF333" s="59" t="s">
        <v>1576</v>
      </c>
      <c r="AG333" s="59"/>
      <c r="AH333" s="59" t="s">
        <v>1635</v>
      </c>
    </row>
    <row r="334" spans="22:34" x14ac:dyDescent="0.25">
      <c r="V334" s="59" t="s">
        <v>755</v>
      </c>
      <c r="W334" s="46">
        <v>5.7000000000000002E-2</v>
      </c>
      <c r="X334" s="46">
        <v>2E-3</v>
      </c>
      <c r="Y334" s="46">
        <v>0.8869999999999999</v>
      </c>
      <c r="Z334" s="46">
        <v>0</v>
      </c>
      <c r="AA334" s="46">
        <v>5.4000000000000006E-2</v>
      </c>
      <c r="AB334" s="46">
        <v>8.0000000000000004E-4</v>
      </c>
      <c r="AC334" s="46">
        <v>0.31900000000000006</v>
      </c>
      <c r="AD334" s="46">
        <v>9.1199999999999996E-3</v>
      </c>
      <c r="AE334" s="46">
        <v>0.68099999999999994</v>
      </c>
      <c r="AF334" s="59" t="s">
        <v>1576</v>
      </c>
      <c r="AG334" s="59"/>
      <c r="AH334" s="59" t="s">
        <v>1635</v>
      </c>
    </row>
    <row r="335" spans="22:34" x14ac:dyDescent="0.25">
      <c r="V335" s="59" t="s">
        <v>1022</v>
      </c>
      <c r="W335" s="46">
        <v>0</v>
      </c>
      <c r="X335" s="46">
        <v>0</v>
      </c>
      <c r="Y335" s="46">
        <v>0.9</v>
      </c>
      <c r="Z335" s="46">
        <v>0</v>
      </c>
      <c r="AA335" s="46">
        <v>0.1</v>
      </c>
      <c r="AB335" s="46">
        <v>0</v>
      </c>
      <c r="AC335" s="46">
        <v>0.1</v>
      </c>
      <c r="AD335" s="46">
        <v>0</v>
      </c>
      <c r="AE335" s="46">
        <v>0.9</v>
      </c>
      <c r="AF335" s="59" t="s">
        <v>1576</v>
      </c>
      <c r="AG335" s="59"/>
      <c r="AH335" s="59" t="s">
        <v>1635</v>
      </c>
    </row>
    <row r="336" spans="22:34" x14ac:dyDescent="0.25">
      <c r="V336" s="59" t="s">
        <v>995</v>
      </c>
      <c r="W336" s="46">
        <v>0</v>
      </c>
      <c r="X336" s="46">
        <v>0</v>
      </c>
      <c r="Y336" s="46">
        <v>0.02</v>
      </c>
      <c r="Z336" s="46">
        <v>0</v>
      </c>
      <c r="AA336" s="46">
        <v>0.98</v>
      </c>
      <c r="AB336" s="46">
        <v>0.26</v>
      </c>
      <c r="AC336" s="46">
        <v>0.02</v>
      </c>
      <c r="AD336" s="46">
        <v>0</v>
      </c>
      <c r="AE336" s="46">
        <v>0.98</v>
      </c>
      <c r="AF336" s="59" t="s">
        <v>1576</v>
      </c>
      <c r="AG336" s="59"/>
      <c r="AH336" s="59" t="s">
        <v>1635</v>
      </c>
    </row>
    <row r="337" spans="22:34" x14ac:dyDescent="0.25">
      <c r="V337" s="59" t="s">
        <v>1588</v>
      </c>
      <c r="W337" s="46">
        <v>0</v>
      </c>
      <c r="X337" s="46">
        <v>0</v>
      </c>
      <c r="Y337" s="46">
        <v>0.02</v>
      </c>
      <c r="Z337" s="46">
        <v>0</v>
      </c>
      <c r="AA337" s="46">
        <v>0.98</v>
      </c>
      <c r="AB337" s="46">
        <v>0.26500000000000001</v>
      </c>
      <c r="AC337" s="46">
        <v>0.02</v>
      </c>
      <c r="AD337" s="46">
        <v>0</v>
      </c>
      <c r="AE337" s="46">
        <v>0.98</v>
      </c>
      <c r="AF337" s="59" t="s">
        <v>1576</v>
      </c>
      <c r="AG337" s="59"/>
      <c r="AH337" s="59" t="s">
        <v>1635</v>
      </c>
    </row>
    <row r="338" spans="22:34" x14ac:dyDescent="0.25">
      <c r="V338" s="59" t="s">
        <v>988</v>
      </c>
      <c r="W338" s="46">
        <v>0</v>
      </c>
      <c r="X338" s="46">
        <v>0</v>
      </c>
      <c r="Y338" s="46">
        <v>0.01</v>
      </c>
      <c r="Z338" s="46">
        <v>0</v>
      </c>
      <c r="AA338" s="46">
        <v>0.99</v>
      </c>
      <c r="AB338" s="46">
        <v>0.218</v>
      </c>
      <c r="AC338" s="46">
        <v>0.01</v>
      </c>
      <c r="AD338" s="46">
        <v>0</v>
      </c>
      <c r="AE338" s="46">
        <v>0.99</v>
      </c>
      <c r="AF338" s="59" t="s">
        <v>1576</v>
      </c>
      <c r="AG338" s="59"/>
      <c r="AH338" s="59" t="s">
        <v>1635</v>
      </c>
    </row>
    <row r="339" spans="22:34" x14ac:dyDescent="0.25">
      <c r="V339" s="59" t="s">
        <v>1589</v>
      </c>
      <c r="W339" s="46">
        <v>0</v>
      </c>
      <c r="X339" s="46">
        <v>0</v>
      </c>
      <c r="Y339" s="46">
        <v>0.02</v>
      </c>
      <c r="Z339" s="46">
        <v>0</v>
      </c>
      <c r="AA339" s="46">
        <v>0.98</v>
      </c>
      <c r="AB339" s="46">
        <v>0.22500000000000001</v>
      </c>
      <c r="AC339" s="46">
        <v>0.02</v>
      </c>
      <c r="AD339" s="46">
        <v>0</v>
      </c>
      <c r="AE339" s="46">
        <v>0.98</v>
      </c>
      <c r="AF339" s="59" t="s">
        <v>1576</v>
      </c>
      <c r="AG339" s="59"/>
      <c r="AH339" s="59" t="s">
        <v>1635</v>
      </c>
    </row>
    <row r="340" spans="22:34" x14ac:dyDescent="0.25">
      <c r="V340" s="59" t="s">
        <v>935</v>
      </c>
      <c r="W340" s="46">
        <v>0</v>
      </c>
      <c r="X340" s="46">
        <v>0.99</v>
      </c>
      <c r="Y340" s="46">
        <v>0.01</v>
      </c>
      <c r="Z340" s="46">
        <v>0</v>
      </c>
      <c r="AA340" s="46">
        <v>0</v>
      </c>
      <c r="AB340" s="46">
        <v>0</v>
      </c>
      <c r="AC340" s="46">
        <v>0.01</v>
      </c>
      <c r="AD340" s="46">
        <v>0</v>
      </c>
      <c r="AE340" s="46">
        <v>0.99</v>
      </c>
      <c r="AF340" s="59" t="s">
        <v>1576</v>
      </c>
      <c r="AG340" s="59"/>
      <c r="AH340" s="59" t="s">
        <v>1635</v>
      </c>
    </row>
    <row r="341" spans="22:34" x14ac:dyDescent="0.25">
      <c r="V341" s="59" t="s">
        <v>757</v>
      </c>
      <c r="W341" s="46">
        <v>0.34899999999999998</v>
      </c>
      <c r="X341" s="46">
        <v>8.900000000000001E-2</v>
      </c>
      <c r="Y341" s="46">
        <v>0.47</v>
      </c>
      <c r="Z341" s="46">
        <v>8.1000000000000003E-2</v>
      </c>
      <c r="AA341" s="46">
        <v>9.1999999999999998E-2</v>
      </c>
      <c r="AB341" s="46">
        <v>1.11E-2</v>
      </c>
      <c r="AC341" s="46">
        <v>0.08</v>
      </c>
      <c r="AD341" s="46">
        <v>5.5839999999999994E-2</v>
      </c>
      <c r="AE341" s="46">
        <v>0.92</v>
      </c>
      <c r="AF341" s="59" t="s">
        <v>1576</v>
      </c>
      <c r="AG341" s="59"/>
      <c r="AH341" s="59" t="s">
        <v>1635</v>
      </c>
    </row>
    <row r="342" spans="22:34" x14ac:dyDescent="0.25">
      <c r="V342" s="59" t="s">
        <v>756</v>
      </c>
      <c r="W342" s="46">
        <v>0.42399999999999999</v>
      </c>
      <c r="X342" s="46">
        <v>1.8000000000000002E-2</v>
      </c>
      <c r="Y342" s="46">
        <v>0.49500000000000005</v>
      </c>
      <c r="Z342" s="46">
        <v>9.0999999999999998E-2</v>
      </c>
      <c r="AA342" s="46">
        <v>6.3E-2</v>
      </c>
      <c r="AB342" s="46">
        <v>0.01</v>
      </c>
      <c r="AC342" s="46">
        <v>0.10099999999999994</v>
      </c>
      <c r="AD342" s="46">
        <v>6.7839999999999998E-2</v>
      </c>
      <c r="AE342" s="46">
        <v>0.89900000000000002</v>
      </c>
      <c r="AF342" s="59" t="s">
        <v>1576</v>
      </c>
      <c r="AG342" s="59"/>
      <c r="AH342" s="59" t="s">
        <v>1635</v>
      </c>
    </row>
    <row r="343" spans="22:34" x14ac:dyDescent="0.25">
      <c r="V343" s="59" t="s">
        <v>1023</v>
      </c>
      <c r="W343" s="46">
        <v>0.2</v>
      </c>
      <c r="X343" s="46">
        <v>0.1</v>
      </c>
      <c r="Y343" s="46">
        <v>0.65</v>
      </c>
      <c r="Z343" s="46">
        <v>0.05</v>
      </c>
      <c r="AA343" s="46">
        <v>0.05</v>
      </c>
      <c r="AB343" s="46">
        <v>0</v>
      </c>
      <c r="AC343" s="46">
        <v>0.1</v>
      </c>
      <c r="AD343" s="46">
        <v>3.2000000000000001E-2</v>
      </c>
      <c r="AE343" s="46">
        <v>0.9</v>
      </c>
      <c r="AF343" s="59" t="s">
        <v>1576</v>
      </c>
      <c r="AG343" s="59"/>
      <c r="AH343" s="59" t="s">
        <v>1635</v>
      </c>
    </row>
    <row r="344" spans="22:34" x14ac:dyDescent="0.25">
      <c r="V344" s="59" t="s">
        <v>1026</v>
      </c>
      <c r="W344" s="46">
        <v>0</v>
      </c>
      <c r="X344" s="46">
        <v>0</v>
      </c>
      <c r="Y344" s="46">
        <v>0.9</v>
      </c>
      <c r="Z344" s="46">
        <v>0</v>
      </c>
      <c r="AA344" s="46">
        <v>0.1</v>
      </c>
      <c r="AB344" s="46">
        <v>0</v>
      </c>
      <c r="AC344" s="46">
        <v>0.01</v>
      </c>
      <c r="AD344" s="46">
        <v>0</v>
      </c>
      <c r="AE344" s="46">
        <v>0.99</v>
      </c>
      <c r="AF344" s="59" t="s">
        <v>1576</v>
      </c>
      <c r="AG344" s="59"/>
      <c r="AH344" s="59" t="s">
        <v>1635</v>
      </c>
    </row>
    <row r="345" spans="22:34" x14ac:dyDescent="0.25">
      <c r="V345" s="59" t="s">
        <v>1025</v>
      </c>
      <c r="W345" s="46">
        <v>0</v>
      </c>
      <c r="X345" s="46">
        <v>0</v>
      </c>
      <c r="Y345" s="46">
        <v>0.06</v>
      </c>
      <c r="Z345" s="46">
        <v>0</v>
      </c>
      <c r="AA345" s="46">
        <v>0.94</v>
      </c>
      <c r="AB345" s="46">
        <v>0</v>
      </c>
      <c r="AC345" s="46">
        <v>0.01</v>
      </c>
      <c r="AD345" s="46">
        <v>0</v>
      </c>
      <c r="AE345" s="46">
        <v>0.99</v>
      </c>
      <c r="AF345" s="59" t="s">
        <v>1576</v>
      </c>
      <c r="AG345" s="59"/>
      <c r="AH345" s="59" t="s">
        <v>1635</v>
      </c>
    </row>
    <row r="346" spans="22:34" x14ac:dyDescent="0.25">
      <c r="V346" s="59" t="s">
        <v>1028</v>
      </c>
      <c r="W346" s="46">
        <v>0.1</v>
      </c>
      <c r="X346" s="46">
        <v>0.02</v>
      </c>
      <c r="Y346" s="46">
        <v>0.13</v>
      </c>
      <c r="Z346" s="46">
        <v>0.01</v>
      </c>
      <c r="AA346" s="46">
        <v>0.75</v>
      </c>
      <c r="AB346" s="46">
        <v>0</v>
      </c>
      <c r="AC346" s="46">
        <v>0.01</v>
      </c>
      <c r="AD346" s="46">
        <v>1.6E-2</v>
      </c>
      <c r="AE346" s="46">
        <v>0.99</v>
      </c>
      <c r="AF346" s="59" t="s">
        <v>1576</v>
      </c>
      <c r="AG346" s="59"/>
      <c r="AH346" s="59" t="s">
        <v>1635</v>
      </c>
    </row>
    <row r="347" spans="22:34" x14ac:dyDescent="0.25">
      <c r="V347" s="59" t="s">
        <v>1024</v>
      </c>
      <c r="W347" s="46">
        <v>0</v>
      </c>
      <c r="X347" s="46">
        <v>0.02</v>
      </c>
      <c r="Y347" s="46">
        <v>0.28000000000000003</v>
      </c>
      <c r="Z347" s="46">
        <v>0</v>
      </c>
      <c r="AA347" s="46">
        <v>0.7</v>
      </c>
      <c r="AB347" s="46">
        <v>0</v>
      </c>
      <c r="AC347" s="46">
        <v>0.1</v>
      </c>
      <c r="AD347" s="46">
        <v>0</v>
      </c>
      <c r="AE347" s="46">
        <v>0.9</v>
      </c>
      <c r="AF347" s="59" t="s">
        <v>1576</v>
      </c>
      <c r="AG347" s="59"/>
      <c r="AH347" s="59" t="s">
        <v>1635</v>
      </c>
    </row>
    <row r="348" spans="22:34" x14ac:dyDescent="0.25">
      <c r="V348" s="59" t="s">
        <v>1027</v>
      </c>
      <c r="W348" s="46">
        <v>0.2</v>
      </c>
      <c r="X348" s="46">
        <v>0.12</v>
      </c>
      <c r="Y348" s="46">
        <v>0.48</v>
      </c>
      <c r="Z348" s="46">
        <v>5.0000000000000001E-3</v>
      </c>
      <c r="AA348" s="46">
        <v>0.2</v>
      </c>
      <c r="AB348" s="46">
        <v>3.0299999999999997E-2</v>
      </c>
      <c r="AC348" s="46">
        <v>0.08</v>
      </c>
      <c r="AD348" s="46">
        <v>3.2000000000000001E-2</v>
      </c>
      <c r="AE348" s="46">
        <v>0.92</v>
      </c>
      <c r="AF348" s="59" t="s">
        <v>1576</v>
      </c>
      <c r="AG348" s="59"/>
      <c r="AH348" s="59" t="s">
        <v>1635</v>
      </c>
    </row>
    <row r="349" spans="22:34" x14ac:dyDescent="0.25">
      <c r="V349" s="59" t="s">
        <v>1037</v>
      </c>
      <c r="W349" s="46">
        <v>0.4</v>
      </c>
      <c r="X349" s="46">
        <v>0.02</v>
      </c>
      <c r="Y349" s="46">
        <v>0.56499999999999995</v>
      </c>
      <c r="Z349" s="46">
        <v>5.0000000000000001E-3</v>
      </c>
      <c r="AA349" s="46">
        <v>1.4999999999999999E-2</v>
      </c>
      <c r="AB349" s="46">
        <v>0</v>
      </c>
      <c r="AC349" s="46">
        <v>0.01</v>
      </c>
      <c r="AD349" s="46">
        <v>6.4000000000000001E-2</v>
      </c>
      <c r="AE349" s="46">
        <v>0.99</v>
      </c>
      <c r="AF349" s="59" t="s">
        <v>1576</v>
      </c>
      <c r="AG349" s="59"/>
      <c r="AH349" s="59" t="s">
        <v>1635</v>
      </c>
    </row>
    <row r="350" spans="22:34" x14ac:dyDescent="0.25">
      <c r="V350" s="59" t="s">
        <v>894</v>
      </c>
      <c r="W350" s="46">
        <v>0.5</v>
      </c>
      <c r="X350" s="46">
        <v>2E-3</v>
      </c>
      <c r="Y350" s="46">
        <v>0.41599999999999993</v>
      </c>
      <c r="Z350" s="46">
        <v>4.0000000000000001E-3</v>
      </c>
      <c r="AA350" s="46">
        <v>8.199999999999999E-2</v>
      </c>
      <c r="AB350" s="46">
        <v>1.5300000000000001E-2</v>
      </c>
      <c r="AC350" s="46">
        <v>7.4999999999999997E-2</v>
      </c>
      <c r="AD350" s="46">
        <v>0.08</v>
      </c>
      <c r="AE350" s="46">
        <v>0.92500000000000004</v>
      </c>
      <c r="AF350" s="59" t="s">
        <v>1576</v>
      </c>
      <c r="AG350" s="59"/>
      <c r="AH350" s="59" t="s">
        <v>1635</v>
      </c>
    </row>
    <row r="351" spans="22:34" x14ac:dyDescent="0.25">
      <c r="V351" s="59" t="s">
        <v>1020</v>
      </c>
      <c r="W351" s="46">
        <v>9.4E-2</v>
      </c>
      <c r="X351" s="46">
        <v>2.5000000000000001E-2</v>
      </c>
      <c r="Y351" s="46">
        <v>0.85099999999999998</v>
      </c>
      <c r="Z351" s="46">
        <v>2.2000000000000002E-2</v>
      </c>
      <c r="AA351" s="46">
        <v>0.03</v>
      </c>
      <c r="AB351" s="46">
        <v>6.9999999999999993E-3</v>
      </c>
      <c r="AC351" s="46">
        <v>0.1</v>
      </c>
      <c r="AD351" s="46">
        <v>1.504E-2</v>
      </c>
      <c r="AE351" s="46">
        <v>0.9</v>
      </c>
      <c r="AF351" s="59" t="s">
        <v>1576</v>
      </c>
      <c r="AG351" s="59"/>
      <c r="AH351" s="59" t="s">
        <v>1635</v>
      </c>
    </row>
    <row r="352" spans="22:34" x14ac:dyDescent="0.25">
      <c r="V352" s="59" t="s">
        <v>759</v>
      </c>
      <c r="W352" s="46">
        <v>0.107</v>
      </c>
      <c r="X352" s="46">
        <v>4.4999999999999998E-2</v>
      </c>
      <c r="Y352" s="46">
        <v>0.81200000000000006</v>
      </c>
      <c r="Z352" s="46">
        <v>0.107</v>
      </c>
      <c r="AA352" s="46">
        <v>3.6000000000000004E-2</v>
      </c>
      <c r="AB352" s="46">
        <v>3.5999999999999999E-3</v>
      </c>
      <c r="AC352" s="46">
        <v>0.10299999999999997</v>
      </c>
      <c r="AD352" s="46">
        <v>1.712E-2</v>
      </c>
      <c r="AE352" s="46">
        <v>0.89700000000000002</v>
      </c>
      <c r="AF352" s="59" t="s">
        <v>1576</v>
      </c>
      <c r="AG352" s="59"/>
      <c r="AH352" s="59" t="s">
        <v>1635</v>
      </c>
    </row>
    <row r="353" spans="22:34" x14ac:dyDescent="0.25">
      <c r="V353" s="59" t="s">
        <v>758</v>
      </c>
      <c r="W353" s="46">
        <v>0.153</v>
      </c>
      <c r="X353" s="46">
        <v>6.0999999999999999E-2</v>
      </c>
      <c r="Y353" s="46">
        <v>0.76400000000000001</v>
      </c>
      <c r="Z353" s="46">
        <v>2.7000000000000003E-2</v>
      </c>
      <c r="AA353" s="46">
        <v>2.2000000000000002E-2</v>
      </c>
      <c r="AB353" s="46">
        <v>4.4000000000000003E-3</v>
      </c>
      <c r="AC353" s="46">
        <v>9.5999999999999946E-2</v>
      </c>
      <c r="AD353" s="46">
        <v>2.4479999999999998E-2</v>
      </c>
      <c r="AE353" s="46">
        <v>0.90400000000000003</v>
      </c>
      <c r="AF353" s="59" t="s">
        <v>1576</v>
      </c>
      <c r="AG353" s="59"/>
      <c r="AH353" s="59" t="s">
        <v>1635</v>
      </c>
    </row>
    <row r="354" spans="22:34" x14ac:dyDescent="0.25">
      <c r="V354" s="59" t="s">
        <v>760</v>
      </c>
      <c r="W354" s="46">
        <v>4.2999999999999997E-2</v>
      </c>
      <c r="X354" s="46">
        <v>0.01</v>
      </c>
      <c r="Y354" s="46">
        <v>0.88200000000000001</v>
      </c>
      <c r="Z354" s="46">
        <v>0.307</v>
      </c>
      <c r="AA354" s="46">
        <v>6.5000000000000002E-2</v>
      </c>
      <c r="AB354" s="46">
        <v>1.8E-3</v>
      </c>
      <c r="AC354" s="46">
        <v>7.2999999999999968E-2</v>
      </c>
      <c r="AD354" s="46">
        <v>6.8799999999999998E-3</v>
      </c>
      <c r="AE354" s="46">
        <v>0.92700000000000005</v>
      </c>
      <c r="AF354" s="59" t="s">
        <v>1576</v>
      </c>
      <c r="AG354" s="59"/>
      <c r="AH354" s="59" t="s">
        <v>1635</v>
      </c>
    </row>
    <row r="355" spans="22:34" x14ac:dyDescent="0.25">
      <c r="V355" s="59" t="s">
        <v>936</v>
      </c>
      <c r="W355" s="46">
        <v>0</v>
      </c>
      <c r="X355" s="46">
        <v>0.99</v>
      </c>
      <c r="Y355" s="46">
        <v>0.01</v>
      </c>
      <c r="Z355" s="46">
        <v>0</v>
      </c>
      <c r="AA355" s="46">
        <v>0</v>
      </c>
      <c r="AB355" s="46">
        <v>0</v>
      </c>
      <c r="AC355" s="46">
        <v>0.01</v>
      </c>
      <c r="AD355" s="46">
        <v>0</v>
      </c>
      <c r="AE355" s="46">
        <v>0.99</v>
      </c>
      <c r="AF355" s="59" t="s">
        <v>1576</v>
      </c>
      <c r="AG355" s="59"/>
      <c r="AH355" s="59" t="s">
        <v>1635</v>
      </c>
    </row>
    <row r="356" spans="22:34" x14ac:dyDescent="0.25">
      <c r="V356" s="59" t="s">
        <v>1740</v>
      </c>
      <c r="W356" s="46">
        <v>0.14699999999999999</v>
      </c>
      <c r="X356" s="46">
        <v>0.04</v>
      </c>
      <c r="Y356" s="46">
        <v>0.73899999999999988</v>
      </c>
      <c r="Z356" s="46">
        <v>0.38959999999999995</v>
      </c>
      <c r="AA356" s="46">
        <v>7.400000000000001E-2</v>
      </c>
      <c r="AB356" s="46">
        <v>7.4000000000000003E-3</v>
      </c>
      <c r="AC356" s="46">
        <v>9.4000000000000056E-2</v>
      </c>
      <c r="AD356" s="46">
        <v>2.3519999999999999E-2</v>
      </c>
      <c r="AE356" s="46">
        <v>0.90599999999999992</v>
      </c>
      <c r="AF356" s="59" t="s">
        <v>526</v>
      </c>
      <c r="AG356" s="59"/>
      <c r="AH356" s="59" t="s">
        <v>1635</v>
      </c>
    </row>
    <row r="357" spans="22:34" x14ac:dyDescent="0.25">
      <c r="V357" s="59" t="s">
        <v>1741</v>
      </c>
      <c r="W357" s="46">
        <v>0.35</v>
      </c>
      <c r="X357" s="46">
        <v>0.35</v>
      </c>
      <c r="Y357" s="46">
        <v>0.28999999999999998</v>
      </c>
      <c r="Z357" s="46">
        <v>4.9999999999999503E-2</v>
      </c>
      <c r="AA357" s="46">
        <v>0.01</v>
      </c>
      <c r="AB357" s="46">
        <v>0.09</v>
      </c>
      <c r="AC357" s="46">
        <v>0.1</v>
      </c>
      <c r="AD357" s="46">
        <v>5.5999999999999994E-2</v>
      </c>
      <c r="AE357" s="46">
        <v>0.9</v>
      </c>
      <c r="AF357" s="59" t="s">
        <v>526</v>
      </c>
      <c r="AG357" s="59"/>
      <c r="AH357" s="59" t="s">
        <v>1635</v>
      </c>
    </row>
    <row r="358" spans="22:34" x14ac:dyDescent="0.25">
      <c r="V358" s="59" t="s">
        <v>1742</v>
      </c>
      <c r="W358" s="46">
        <v>0.35</v>
      </c>
      <c r="X358" s="46">
        <v>0.35</v>
      </c>
      <c r="Y358" s="46">
        <v>0.28999999999999998</v>
      </c>
      <c r="Z358" s="46">
        <v>4.9999999999999503E-2</v>
      </c>
      <c r="AA358" s="46">
        <v>0.01</v>
      </c>
      <c r="AB358" s="46">
        <v>0.09</v>
      </c>
      <c r="AC358" s="46">
        <v>0.1</v>
      </c>
      <c r="AD358" s="46">
        <v>5.5999999999999994E-2</v>
      </c>
      <c r="AE358" s="46">
        <v>0.9</v>
      </c>
      <c r="AF358" s="59" t="s">
        <v>526</v>
      </c>
      <c r="AG358" s="59"/>
      <c r="AH358" s="59" t="s">
        <v>1635</v>
      </c>
    </row>
    <row r="359" spans="22:34" x14ac:dyDescent="0.25">
      <c r="V359" s="59" t="s">
        <v>762</v>
      </c>
      <c r="W359" s="46">
        <v>0.16300000000000001</v>
      </c>
      <c r="X359" s="46">
        <v>8.900000000000001E-2</v>
      </c>
      <c r="Y359" s="46">
        <v>0.70700000000000007</v>
      </c>
      <c r="Z359" s="46">
        <v>0.16899999999999998</v>
      </c>
      <c r="AA359" s="46">
        <v>4.0999999999999995E-2</v>
      </c>
      <c r="AB359" s="46">
        <v>6.0000000000000001E-3</v>
      </c>
      <c r="AC359" s="46">
        <v>7.0000000000000007E-2</v>
      </c>
      <c r="AD359" s="46">
        <v>2.6080000000000002E-2</v>
      </c>
      <c r="AE359" s="46">
        <v>0.93</v>
      </c>
      <c r="AF359" s="59" t="s">
        <v>1576</v>
      </c>
      <c r="AG359" s="59"/>
      <c r="AH359" s="59" t="s">
        <v>1635</v>
      </c>
    </row>
    <row r="360" spans="22:34" x14ac:dyDescent="0.25">
      <c r="V360" s="59" t="s">
        <v>761</v>
      </c>
      <c r="W360" s="46">
        <v>0.159</v>
      </c>
      <c r="X360" s="46">
        <v>0.11800000000000001</v>
      </c>
      <c r="Y360" s="46">
        <v>0.67299999999999993</v>
      </c>
      <c r="Z360" s="46">
        <v>0.17499999999999999</v>
      </c>
      <c r="AA360" s="46">
        <v>0.05</v>
      </c>
      <c r="AB360" s="46">
        <v>5.6000000000000008E-3</v>
      </c>
      <c r="AC360" s="46">
        <v>5.2999999999999971E-2</v>
      </c>
      <c r="AD360" s="46">
        <v>2.5440000000000001E-2</v>
      </c>
      <c r="AE360" s="46">
        <v>0.94700000000000006</v>
      </c>
      <c r="AF360" s="59" t="s">
        <v>1576</v>
      </c>
      <c r="AG360" s="59"/>
      <c r="AH360" s="59" t="s">
        <v>1635</v>
      </c>
    </row>
    <row r="361" spans="22:34" x14ac:dyDescent="0.25">
      <c r="V361" s="59" t="s">
        <v>763</v>
      </c>
      <c r="W361" s="46">
        <v>0.17499999999999999</v>
      </c>
      <c r="X361" s="46">
        <v>1.3999999999999999E-2</v>
      </c>
      <c r="Y361" s="46">
        <v>0.77199999999999991</v>
      </c>
      <c r="Z361" s="46">
        <v>0.19600000000000001</v>
      </c>
      <c r="AA361" s="46">
        <v>3.9E-2</v>
      </c>
      <c r="AB361" s="46">
        <v>6.6E-3</v>
      </c>
      <c r="AC361" s="46">
        <v>0.08</v>
      </c>
      <c r="AD361" s="46">
        <v>2.7999999999999997E-2</v>
      </c>
      <c r="AE361" s="46">
        <v>0.92</v>
      </c>
      <c r="AF361" s="59" t="s">
        <v>1576</v>
      </c>
      <c r="AG361" s="59"/>
      <c r="AH361" s="59" t="s">
        <v>1635</v>
      </c>
    </row>
    <row r="362" spans="22:34" x14ac:dyDescent="0.25">
      <c r="V362" s="59" t="s">
        <v>937</v>
      </c>
      <c r="W362" s="46">
        <v>0</v>
      </c>
      <c r="X362" s="46">
        <v>0.99</v>
      </c>
      <c r="Y362" s="46">
        <v>0.01</v>
      </c>
      <c r="Z362" s="46">
        <v>0</v>
      </c>
      <c r="AA362" s="46">
        <v>0</v>
      </c>
      <c r="AB362" s="46">
        <v>0</v>
      </c>
      <c r="AC362" s="46">
        <v>0.01</v>
      </c>
      <c r="AD362" s="46">
        <v>0</v>
      </c>
      <c r="AE362" s="46">
        <v>0.99</v>
      </c>
      <c r="AF362" s="59" t="s">
        <v>1576</v>
      </c>
      <c r="AG362" s="59"/>
      <c r="AH362" s="59" t="s">
        <v>1635</v>
      </c>
    </row>
    <row r="363" spans="22:34" x14ac:dyDescent="0.25">
      <c r="V363" s="59" t="s">
        <v>1743</v>
      </c>
      <c r="W363" s="46">
        <v>0</v>
      </c>
      <c r="X363" s="46">
        <v>1</v>
      </c>
      <c r="Y363" s="46">
        <v>0</v>
      </c>
      <c r="Z363" s="46">
        <v>0</v>
      </c>
      <c r="AA363" s="46">
        <v>0</v>
      </c>
      <c r="AB363" s="46">
        <v>0</v>
      </c>
      <c r="AC363" s="46">
        <v>0</v>
      </c>
      <c r="AD363" s="46">
        <v>0</v>
      </c>
      <c r="AE363" s="46">
        <v>1</v>
      </c>
      <c r="AF363" s="59" t="s">
        <v>526</v>
      </c>
      <c r="AG363" s="59"/>
      <c r="AH363" s="59" t="s">
        <v>1635</v>
      </c>
    </row>
    <row r="364" spans="22:34" x14ac:dyDescent="0.25">
      <c r="V364" s="59" t="s">
        <v>764</v>
      </c>
      <c r="W364" s="46">
        <v>0.124</v>
      </c>
      <c r="X364" s="46">
        <v>0.06</v>
      </c>
      <c r="Y364" s="46">
        <v>0.80500000000000005</v>
      </c>
      <c r="Z364" s="46">
        <v>0.34899999999999998</v>
      </c>
      <c r="AA364" s="46">
        <v>1.1000000000000001E-2</v>
      </c>
      <c r="AB364" s="46">
        <v>2.8999999999999998E-3</v>
      </c>
      <c r="AC364" s="46">
        <v>9.2999999999999972E-2</v>
      </c>
      <c r="AD364" s="46">
        <v>1.984E-2</v>
      </c>
      <c r="AE364" s="46">
        <v>0.90700000000000003</v>
      </c>
      <c r="AF364" s="59" t="s">
        <v>1576</v>
      </c>
      <c r="AG364" s="59"/>
      <c r="AH364" s="59" t="s">
        <v>1635</v>
      </c>
    </row>
    <row r="365" spans="22:34" x14ac:dyDescent="0.25">
      <c r="V365" s="59" t="s">
        <v>765</v>
      </c>
      <c r="W365" s="46">
        <v>0.54400000000000004</v>
      </c>
      <c r="X365" s="46">
        <v>1.7000000000000001E-2</v>
      </c>
      <c r="Y365" s="46">
        <v>0.36599999999999999</v>
      </c>
      <c r="Z365" s="46">
        <v>0</v>
      </c>
      <c r="AA365" s="46">
        <v>7.2999999999999995E-2</v>
      </c>
      <c r="AB365" s="46">
        <v>8.3999999999999995E-3</v>
      </c>
      <c r="AC365" s="46">
        <v>9.7999999999999976E-2</v>
      </c>
      <c r="AD365" s="46">
        <v>8.7040000000000006E-2</v>
      </c>
      <c r="AE365" s="46">
        <v>0.90200000000000002</v>
      </c>
      <c r="AF365" s="59" t="s">
        <v>1576</v>
      </c>
      <c r="AG365" s="59"/>
      <c r="AH365" s="59" t="s">
        <v>1635</v>
      </c>
    </row>
    <row r="366" spans="22:34" x14ac:dyDescent="0.25">
      <c r="V366" s="59" t="s">
        <v>766</v>
      </c>
      <c r="W366" s="46">
        <v>0.84</v>
      </c>
      <c r="X366" s="46">
        <v>4.7E-2</v>
      </c>
      <c r="Y366" s="46">
        <v>8.3000000000000004E-2</v>
      </c>
      <c r="Z366" s="46">
        <v>3.0000000000000001E-3</v>
      </c>
      <c r="AA366" s="46">
        <v>0.03</v>
      </c>
      <c r="AB366" s="46">
        <v>8.3999999999999995E-3</v>
      </c>
      <c r="AC366" s="46">
        <v>6.0999999999999943E-2</v>
      </c>
      <c r="AD366" s="46">
        <v>0.13439999999999999</v>
      </c>
      <c r="AE366" s="46">
        <v>0.93900000000000006</v>
      </c>
      <c r="AF366" s="59" t="s">
        <v>1576</v>
      </c>
      <c r="AG366" s="59"/>
      <c r="AH366" s="59" t="s">
        <v>1635</v>
      </c>
    </row>
    <row r="367" spans="22:34" x14ac:dyDescent="0.25">
      <c r="V367" s="59" t="s">
        <v>767</v>
      </c>
      <c r="W367" s="46">
        <v>0.24299999999999999</v>
      </c>
      <c r="X367" s="46">
        <v>1.2E-2</v>
      </c>
      <c r="Y367" s="46">
        <v>0.71299999999999997</v>
      </c>
      <c r="Z367" s="46">
        <v>6.5000000000000002E-2</v>
      </c>
      <c r="AA367" s="46">
        <v>3.2000000000000001E-2</v>
      </c>
      <c r="AB367" s="46">
        <v>4.1999999999999997E-3</v>
      </c>
      <c r="AC367" s="46">
        <v>0.10099999999999994</v>
      </c>
      <c r="AD367" s="46">
        <v>3.8879999999999998E-2</v>
      </c>
      <c r="AE367" s="46">
        <v>0.89900000000000002</v>
      </c>
      <c r="AF367" s="59" t="s">
        <v>1576</v>
      </c>
      <c r="AG367" s="59"/>
      <c r="AH367" s="59" t="s">
        <v>1635</v>
      </c>
    </row>
    <row r="368" spans="22:34" x14ac:dyDescent="0.25">
      <c r="V368" s="59" t="s">
        <v>770</v>
      </c>
      <c r="W368" s="46">
        <v>0.55399999999999994</v>
      </c>
      <c r="X368" s="46">
        <v>5.7999999999999996E-2</v>
      </c>
      <c r="Y368" s="46">
        <v>0.33700000000000002</v>
      </c>
      <c r="Z368" s="46">
        <v>5.2999999999999999E-2</v>
      </c>
      <c r="AA368" s="46">
        <v>5.0999999999999997E-2</v>
      </c>
      <c r="AB368" s="46">
        <v>6.9999999999999993E-3</v>
      </c>
      <c r="AC368" s="46">
        <v>0.1</v>
      </c>
      <c r="AD368" s="46">
        <v>8.8639999999999997E-2</v>
      </c>
      <c r="AE368" s="46">
        <v>0.9</v>
      </c>
      <c r="AF368" s="59" t="s">
        <v>1576</v>
      </c>
      <c r="AG368" s="59"/>
      <c r="AH368" s="59" t="s">
        <v>1635</v>
      </c>
    </row>
    <row r="369" spans="22:34" x14ac:dyDescent="0.25">
      <c r="V369" s="59" t="s">
        <v>768</v>
      </c>
      <c r="W369" s="46">
        <v>0.45500000000000002</v>
      </c>
      <c r="X369" s="46">
        <v>6.2E-2</v>
      </c>
      <c r="Y369" s="46">
        <v>0.42899999999999999</v>
      </c>
      <c r="Z369" s="46">
        <v>8.199999999999999E-2</v>
      </c>
      <c r="AA369" s="46">
        <v>5.4000000000000006E-2</v>
      </c>
      <c r="AB369" s="46">
        <v>5.3E-3</v>
      </c>
      <c r="AC369" s="46">
        <v>9.5000000000000001E-2</v>
      </c>
      <c r="AD369" s="46">
        <v>7.2800000000000004E-2</v>
      </c>
      <c r="AE369" s="46">
        <v>0.90500000000000003</v>
      </c>
      <c r="AF369" s="59" t="s">
        <v>1576</v>
      </c>
      <c r="AG369" s="59"/>
      <c r="AH369" s="59" t="s">
        <v>1635</v>
      </c>
    </row>
    <row r="370" spans="22:34" x14ac:dyDescent="0.25">
      <c r="V370" s="59" t="s">
        <v>769</v>
      </c>
      <c r="W370" s="46">
        <v>0.47499999999999998</v>
      </c>
      <c r="X370" s="46">
        <v>1.3000000000000001E-2</v>
      </c>
      <c r="Y370" s="46">
        <v>0.45500000000000002</v>
      </c>
      <c r="Z370" s="46">
        <v>8.900000000000001E-2</v>
      </c>
      <c r="AA370" s="46">
        <v>5.7000000000000002E-2</v>
      </c>
      <c r="AB370" s="46">
        <v>6.4000000000000003E-3</v>
      </c>
      <c r="AC370" s="46">
        <v>9.2999999999999972E-2</v>
      </c>
      <c r="AD370" s="46">
        <v>7.5999999999999998E-2</v>
      </c>
      <c r="AE370" s="46">
        <v>0.90700000000000003</v>
      </c>
      <c r="AF370" s="59" t="s">
        <v>1576</v>
      </c>
      <c r="AG370" s="59"/>
      <c r="AH370" s="59" t="s">
        <v>1635</v>
      </c>
    </row>
    <row r="371" spans="22:34" x14ac:dyDescent="0.25">
      <c r="V371" s="59" t="s">
        <v>938</v>
      </c>
      <c r="W371" s="46">
        <v>0</v>
      </c>
      <c r="X371" s="46">
        <v>0.99</v>
      </c>
      <c r="Y371" s="46">
        <v>0.01</v>
      </c>
      <c r="Z371" s="46">
        <v>0</v>
      </c>
      <c r="AA371" s="46">
        <v>0</v>
      </c>
      <c r="AB371" s="46">
        <v>0</v>
      </c>
      <c r="AC371" s="46">
        <v>0.01</v>
      </c>
      <c r="AD371" s="46">
        <v>0</v>
      </c>
      <c r="AE371" s="46">
        <v>0.99</v>
      </c>
      <c r="AF371" s="59" t="s">
        <v>1576</v>
      </c>
      <c r="AG371" s="59"/>
      <c r="AH371" s="59" t="s">
        <v>1635</v>
      </c>
    </row>
    <row r="372" spans="22:34" x14ac:dyDescent="0.25">
      <c r="V372" s="59" t="s">
        <v>1016</v>
      </c>
      <c r="W372" s="46">
        <v>0</v>
      </c>
      <c r="X372" s="46">
        <v>0</v>
      </c>
      <c r="Y372" s="46">
        <v>0.9</v>
      </c>
      <c r="Z372" s="46">
        <v>0.25</v>
      </c>
      <c r="AA372" s="46">
        <v>0.1</v>
      </c>
      <c r="AB372" s="46">
        <v>0</v>
      </c>
      <c r="AC372" s="46">
        <v>0.1</v>
      </c>
      <c r="AD372" s="46">
        <v>0</v>
      </c>
      <c r="AE372" s="46">
        <v>0.9</v>
      </c>
      <c r="AF372" s="59" t="s">
        <v>1576</v>
      </c>
      <c r="AG372" s="59"/>
      <c r="AH372" s="59" t="s">
        <v>1635</v>
      </c>
    </row>
    <row r="373" spans="22:34" x14ac:dyDescent="0.25">
      <c r="V373" s="59" t="s">
        <v>1590</v>
      </c>
      <c r="W373" s="46">
        <v>0.1</v>
      </c>
      <c r="X373" s="46">
        <v>0.01</v>
      </c>
      <c r="Y373" s="46">
        <v>0.85</v>
      </c>
      <c r="Z373" s="46">
        <v>0.03</v>
      </c>
      <c r="AA373" s="46">
        <v>0.04</v>
      </c>
      <c r="AB373" s="46">
        <v>3.6000000000000004E-2</v>
      </c>
      <c r="AC373" s="46">
        <v>0.498</v>
      </c>
      <c r="AD373" s="46">
        <v>1.6E-2</v>
      </c>
      <c r="AE373" s="46">
        <v>0.502</v>
      </c>
      <c r="AF373" s="59" t="s">
        <v>1576</v>
      </c>
      <c r="AG373" s="59"/>
      <c r="AH373" s="59" t="s">
        <v>1635</v>
      </c>
    </row>
    <row r="374" spans="22:34" x14ac:dyDescent="0.25">
      <c r="V374" s="59" t="s">
        <v>946</v>
      </c>
      <c r="W374" s="46">
        <v>0.1</v>
      </c>
      <c r="X374" s="46">
        <v>0.06</v>
      </c>
      <c r="Y374" s="46">
        <v>0.54</v>
      </c>
      <c r="Z374" s="46">
        <v>0</v>
      </c>
      <c r="AA374" s="46">
        <v>0.3</v>
      </c>
      <c r="AB374" s="46">
        <v>0</v>
      </c>
      <c r="AC374" s="46">
        <v>0.01</v>
      </c>
      <c r="AD374" s="46">
        <v>1.6E-2</v>
      </c>
      <c r="AE374" s="46">
        <v>0.99</v>
      </c>
      <c r="AF374" s="59" t="s">
        <v>1576</v>
      </c>
      <c r="AG374" s="59"/>
      <c r="AH374" s="59" t="s">
        <v>1635</v>
      </c>
    </row>
    <row r="375" spans="22:34" x14ac:dyDescent="0.25">
      <c r="V375" s="59" t="s">
        <v>656</v>
      </c>
      <c r="W375" s="46">
        <v>0.65500000000000003</v>
      </c>
      <c r="X375" s="46">
        <v>0.13500000000000001</v>
      </c>
      <c r="Y375" s="46">
        <v>0.08</v>
      </c>
      <c r="Z375" s="46">
        <v>0.02</v>
      </c>
      <c r="AA375" s="46">
        <v>0.13</v>
      </c>
      <c r="AB375" s="46">
        <v>0.03</v>
      </c>
      <c r="AC375" s="46">
        <v>2.200000000000003E-2</v>
      </c>
      <c r="AD375" s="46">
        <v>0.1048</v>
      </c>
      <c r="AE375" s="46">
        <v>0.97799999999999998</v>
      </c>
      <c r="AF375" s="59" t="s">
        <v>1576</v>
      </c>
      <c r="AG375" s="59"/>
      <c r="AH375" s="59" t="s">
        <v>1635</v>
      </c>
    </row>
    <row r="376" spans="22:34" x14ac:dyDescent="0.25">
      <c r="V376" s="59" t="s">
        <v>658</v>
      </c>
      <c r="W376" s="46">
        <v>0.41700000000000004</v>
      </c>
      <c r="X376" s="46">
        <v>9.9000000000000005E-2</v>
      </c>
      <c r="Y376" s="46">
        <v>4.6999999999999958E-2</v>
      </c>
      <c r="Z376" s="46">
        <v>5.0000000000000001E-3</v>
      </c>
      <c r="AA376" s="46">
        <v>0.43700000000000006</v>
      </c>
      <c r="AB376" s="46">
        <v>7.7300000000000008E-2</v>
      </c>
      <c r="AC376" s="46">
        <v>3.0999999999999944E-2</v>
      </c>
      <c r="AD376" s="46">
        <v>6.6720000000000002E-2</v>
      </c>
      <c r="AE376" s="46">
        <v>0.96900000000000008</v>
      </c>
      <c r="AF376" s="59" t="s">
        <v>1576</v>
      </c>
      <c r="AG376" s="59"/>
      <c r="AH376" s="59" t="s">
        <v>1635</v>
      </c>
    </row>
    <row r="377" spans="22:34" x14ac:dyDescent="0.25">
      <c r="V377" s="59" t="s">
        <v>659</v>
      </c>
      <c r="W377" s="46">
        <v>0.55799999999999994</v>
      </c>
      <c r="X377" s="46">
        <v>9.6000000000000002E-2</v>
      </c>
      <c r="Y377" s="46">
        <v>0.03</v>
      </c>
      <c r="Z377" s="46">
        <v>5.0000000000000001E-3</v>
      </c>
      <c r="AA377" s="46">
        <v>0.316</v>
      </c>
      <c r="AB377" s="46">
        <v>5.8600000000000006E-2</v>
      </c>
      <c r="AC377" s="46">
        <v>2.200000000000003E-2</v>
      </c>
      <c r="AD377" s="46">
        <v>8.9279999999999984E-2</v>
      </c>
      <c r="AE377" s="46">
        <v>0.97799999999999998</v>
      </c>
      <c r="AF377" s="59" t="s">
        <v>1576</v>
      </c>
      <c r="AG377" s="59"/>
      <c r="AH377" s="59" t="s">
        <v>1635</v>
      </c>
    </row>
    <row r="378" spans="22:34" x14ac:dyDescent="0.25">
      <c r="V378" s="59" t="s">
        <v>657</v>
      </c>
      <c r="W378" s="46">
        <v>0.59699999999999998</v>
      </c>
      <c r="X378" s="46">
        <v>0.11800000000000001</v>
      </c>
      <c r="Y378" s="46">
        <v>3.2999999999999974E-2</v>
      </c>
      <c r="Z378" s="46">
        <v>5.0000000000000001E-3</v>
      </c>
      <c r="AA378" s="46">
        <v>0.252</v>
      </c>
      <c r="AB378" s="46">
        <v>4.2099999999999999E-2</v>
      </c>
      <c r="AC378" s="46">
        <v>2.5000000000000001E-2</v>
      </c>
      <c r="AD378" s="46">
        <v>9.5519999999999994E-2</v>
      </c>
      <c r="AE378" s="46">
        <v>0.97499999999999998</v>
      </c>
      <c r="AF378" s="59" t="s">
        <v>1576</v>
      </c>
      <c r="AG378" s="59"/>
      <c r="AH378" s="59" t="s">
        <v>1635</v>
      </c>
    </row>
    <row r="379" spans="22:34" x14ac:dyDescent="0.25">
      <c r="V379" s="59" t="s">
        <v>660</v>
      </c>
      <c r="W379" s="46">
        <v>0.61699999999999999</v>
      </c>
      <c r="X379" s="46">
        <v>0.11699999999999999</v>
      </c>
      <c r="Y379" s="46">
        <v>8.2999999999999977E-2</v>
      </c>
      <c r="Z379" s="46">
        <v>5.0000000000000001E-3</v>
      </c>
      <c r="AA379" s="46">
        <v>0.183</v>
      </c>
      <c r="AB379" s="46">
        <v>2.9500000000000002E-2</v>
      </c>
      <c r="AC379" s="46">
        <v>3.5999999999999942E-2</v>
      </c>
      <c r="AD379" s="46">
        <v>9.8720000000000002E-2</v>
      </c>
      <c r="AE379" s="46">
        <v>0.96400000000000008</v>
      </c>
      <c r="AF379" s="59" t="s">
        <v>1576</v>
      </c>
      <c r="AG379" s="59"/>
      <c r="AH379" s="59" t="s">
        <v>1635</v>
      </c>
    </row>
    <row r="380" spans="22:34" x14ac:dyDescent="0.25">
      <c r="V380" s="59" t="s">
        <v>1591</v>
      </c>
      <c r="W380" s="46">
        <v>0</v>
      </c>
      <c r="X380" s="46">
        <v>0</v>
      </c>
      <c r="Y380" s="46">
        <v>0.01</v>
      </c>
      <c r="Z380" s="46">
        <v>0</v>
      </c>
      <c r="AA380" s="46">
        <v>0.99</v>
      </c>
      <c r="AB380" s="46">
        <v>0</v>
      </c>
      <c r="AC380" s="46">
        <v>0.01</v>
      </c>
      <c r="AD380" s="46">
        <v>0</v>
      </c>
      <c r="AE380" s="46">
        <v>0.99</v>
      </c>
      <c r="AF380" s="59" t="s">
        <v>1576</v>
      </c>
      <c r="AG380" s="59"/>
      <c r="AH380" s="59" t="s">
        <v>1635</v>
      </c>
    </row>
    <row r="381" spans="22:34" x14ac:dyDescent="0.25">
      <c r="V381" s="59" t="s">
        <v>987</v>
      </c>
      <c r="W381" s="46">
        <v>0</v>
      </c>
      <c r="X381" s="46">
        <v>0</v>
      </c>
      <c r="Y381" s="46">
        <v>0.02</v>
      </c>
      <c r="Z381" s="46">
        <v>0</v>
      </c>
      <c r="AA381" s="46">
        <v>0.98</v>
      </c>
      <c r="AB381" s="46">
        <v>0.22800000000000001</v>
      </c>
      <c r="AC381" s="46">
        <v>0.02</v>
      </c>
      <c r="AD381" s="46">
        <v>0</v>
      </c>
      <c r="AE381" s="46">
        <v>0.98</v>
      </c>
      <c r="AF381" s="59" t="s">
        <v>1576</v>
      </c>
      <c r="AG381" s="59"/>
      <c r="AH381" s="59" t="s">
        <v>1635</v>
      </c>
    </row>
    <row r="382" spans="22:34" x14ac:dyDescent="0.25">
      <c r="V382" s="59" t="s">
        <v>771</v>
      </c>
      <c r="W382" s="46">
        <v>0.74299999999999999</v>
      </c>
      <c r="X382" s="46">
        <v>2.1000000000000001E-2</v>
      </c>
      <c r="Y382" s="46">
        <v>0.21400000000000002</v>
      </c>
      <c r="Z382" s="46">
        <v>0.01</v>
      </c>
      <c r="AA382" s="46">
        <v>2.2000000000000002E-2</v>
      </c>
      <c r="AB382" s="46">
        <v>4.5000000000000005E-3</v>
      </c>
      <c r="AC382" s="46">
        <v>7.4999999999999997E-2</v>
      </c>
      <c r="AD382" s="46">
        <v>0.11888</v>
      </c>
      <c r="AE382" s="46">
        <v>0.92500000000000004</v>
      </c>
      <c r="AF382" s="59" t="s">
        <v>1576</v>
      </c>
      <c r="AG382" s="59"/>
      <c r="AH382" s="59" t="s">
        <v>1635</v>
      </c>
    </row>
    <row r="383" spans="22:34" x14ac:dyDescent="0.25">
      <c r="V383" s="59" t="s">
        <v>772</v>
      </c>
      <c r="W383" s="46">
        <v>0.78099999999999992</v>
      </c>
      <c r="X383" s="46">
        <v>4.0000000000000001E-3</v>
      </c>
      <c r="Y383" s="46">
        <v>0.20200000000000007</v>
      </c>
      <c r="Z383" s="46">
        <v>1E-3</v>
      </c>
      <c r="AA383" s="46">
        <v>1.3000000000000001E-2</v>
      </c>
      <c r="AB383" s="46">
        <v>0</v>
      </c>
      <c r="AC383" s="46">
        <v>8.5000000000000006E-2</v>
      </c>
      <c r="AD383" s="46">
        <v>0.12495999999999999</v>
      </c>
      <c r="AE383" s="46">
        <v>0.91500000000000004</v>
      </c>
      <c r="AF383" s="59" t="s">
        <v>1576</v>
      </c>
      <c r="AG383" s="59"/>
      <c r="AH383" s="59" t="s">
        <v>1635</v>
      </c>
    </row>
    <row r="384" spans="22:34" x14ac:dyDescent="0.25">
      <c r="V384" s="59" t="s">
        <v>773</v>
      </c>
      <c r="W384" s="46">
        <v>0.87</v>
      </c>
      <c r="X384" s="46">
        <v>2.8999999999999998E-2</v>
      </c>
      <c r="Y384" s="46">
        <v>9.6000000000000002E-2</v>
      </c>
      <c r="Z384" s="46">
        <v>1E-3</v>
      </c>
      <c r="AA384" s="46">
        <v>5.0000000000000001E-3</v>
      </c>
      <c r="AB384" s="46">
        <v>0.01</v>
      </c>
      <c r="AC384" s="46">
        <v>6.7000000000000032E-2</v>
      </c>
      <c r="AD384" s="46">
        <v>0.13919999999999999</v>
      </c>
      <c r="AE384" s="46">
        <v>0.93299999999999994</v>
      </c>
      <c r="AF384" s="59" t="s">
        <v>1576</v>
      </c>
      <c r="AG384" s="59"/>
      <c r="AH384" s="59" t="s">
        <v>1635</v>
      </c>
    </row>
    <row r="385" spans="22:34" x14ac:dyDescent="0.25">
      <c r="V385" s="59" t="s">
        <v>774</v>
      </c>
      <c r="W385" s="46">
        <v>0</v>
      </c>
      <c r="X385" s="46">
        <v>0</v>
      </c>
      <c r="Y385" s="46">
        <v>0.99400000000000011</v>
      </c>
      <c r="Z385" s="46">
        <v>3.6000000000000004E-2</v>
      </c>
      <c r="AA385" s="46">
        <v>6.0000000000000001E-3</v>
      </c>
      <c r="AB385" s="46">
        <v>0</v>
      </c>
      <c r="AC385" s="46">
        <v>0.16</v>
      </c>
      <c r="AD385" s="46">
        <v>0</v>
      </c>
      <c r="AE385" s="46">
        <v>0.84</v>
      </c>
      <c r="AF385" s="59" t="s">
        <v>1576</v>
      </c>
      <c r="AG385" s="59"/>
      <c r="AH385" s="59" t="s">
        <v>1635</v>
      </c>
    </row>
    <row r="386" spans="22:34" x14ac:dyDescent="0.25">
      <c r="V386" s="59" t="s">
        <v>662</v>
      </c>
      <c r="W386" s="46">
        <v>0.60399999999999998</v>
      </c>
      <c r="X386" s="46">
        <v>0.153</v>
      </c>
      <c r="Y386" s="46">
        <v>0.11600000000000002</v>
      </c>
      <c r="Z386" s="46">
        <v>2.8999999999999998E-2</v>
      </c>
      <c r="AA386" s="46">
        <v>0.127</v>
      </c>
      <c r="AB386" s="46">
        <v>1.55E-2</v>
      </c>
      <c r="AC386" s="46">
        <v>6.7999999999999977E-2</v>
      </c>
      <c r="AD386" s="46">
        <v>9.6640000000000004E-2</v>
      </c>
      <c r="AE386" s="46">
        <v>0.93200000000000005</v>
      </c>
      <c r="AF386" s="59" t="s">
        <v>1576</v>
      </c>
      <c r="AG386" s="59"/>
      <c r="AH386" s="59" t="s">
        <v>1635</v>
      </c>
    </row>
    <row r="387" spans="22:34" x14ac:dyDescent="0.25">
      <c r="V387" s="59" t="s">
        <v>665</v>
      </c>
      <c r="W387" s="46">
        <v>0.7340000000000001</v>
      </c>
      <c r="X387" s="46">
        <v>0.161</v>
      </c>
      <c r="Y387" s="46">
        <v>6.4999999999999933E-2</v>
      </c>
      <c r="Z387" s="46">
        <v>0</v>
      </c>
      <c r="AA387" s="46">
        <v>0.04</v>
      </c>
      <c r="AB387" s="46">
        <v>1.2E-2</v>
      </c>
      <c r="AC387" s="46">
        <v>0.06</v>
      </c>
      <c r="AD387" s="46">
        <v>0.11744000000000002</v>
      </c>
      <c r="AE387" s="46">
        <v>0.94</v>
      </c>
      <c r="AF387" s="59" t="s">
        <v>1576</v>
      </c>
      <c r="AG387" s="59"/>
      <c r="AH387" s="59" t="s">
        <v>1635</v>
      </c>
    </row>
    <row r="388" spans="22:34" x14ac:dyDescent="0.25">
      <c r="V388" s="59" t="s">
        <v>664</v>
      </c>
      <c r="W388" s="46">
        <v>0.56999999999999995</v>
      </c>
      <c r="X388" s="46">
        <v>0.14000000000000001</v>
      </c>
      <c r="Y388" s="46">
        <v>0.12</v>
      </c>
      <c r="Z388" s="46">
        <v>2.5000000000000001E-2</v>
      </c>
      <c r="AA388" s="46">
        <v>0.17</v>
      </c>
      <c r="AB388" s="46">
        <v>3.1E-2</v>
      </c>
      <c r="AC388" s="46">
        <v>0.06</v>
      </c>
      <c r="AD388" s="46">
        <v>9.1199999999999989E-2</v>
      </c>
      <c r="AE388" s="46">
        <v>0.94</v>
      </c>
      <c r="AF388" s="59" t="s">
        <v>1576</v>
      </c>
      <c r="AG388" s="59"/>
      <c r="AH388" s="59" t="s">
        <v>1635</v>
      </c>
    </row>
    <row r="389" spans="22:34" x14ac:dyDescent="0.25">
      <c r="V389" s="59" t="s">
        <v>663</v>
      </c>
      <c r="W389" s="46">
        <v>0.6</v>
      </c>
      <c r="X389" s="46">
        <v>0.124</v>
      </c>
      <c r="Y389" s="46">
        <v>0.12300000000000001</v>
      </c>
      <c r="Z389" s="46">
        <v>2.6000000000000002E-2</v>
      </c>
      <c r="AA389" s="46">
        <v>0.153</v>
      </c>
      <c r="AB389" s="46">
        <v>3.4300000000000004E-2</v>
      </c>
      <c r="AC389" s="46">
        <v>7.4000000000000052E-2</v>
      </c>
      <c r="AD389" s="46">
        <v>9.6000000000000002E-2</v>
      </c>
      <c r="AE389" s="46">
        <v>0.92599999999999993</v>
      </c>
      <c r="AF389" s="59" t="s">
        <v>1576</v>
      </c>
      <c r="AG389" s="59"/>
      <c r="AH389" s="59" t="s">
        <v>1635</v>
      </c>
    </row>
    <row r="390" spans="22:34" x14ac:dyDescent="0.25">
      <c r="V390" s="59" t="s">
        <v>666</v>
      </c>
      <c r="W390" s="46">
        <v>0.621</v>
      </c>
      <c r="X390" s="46">
        <v>0.19800000000000001</v>
      </c>
      <c r="Y390" s="46">
        <v>0.10999999999999999</v>
      </c>
      <c r="Z390" s="46">
        <v>0</v>
      </c>
      <c r="AA390" s="46">
        <v>7.0999999999999994E-2</v>
      </c>
      <c r="AB390" s="46">
        <v>1.1000000000000001E-2</v>
      </c>
      <c r="AC390" s="46">
        <v>0.11</v>
      </c>
      <c r="AD390" s="46">
        <v>9.9360000000000004E-2</v>
      </c>
      <c r="AE390" s="46">
        <v>0.89</v>
      </c>
      <c r="AF390" s="59" t="s">
        <v>1576</v>
      </c>
      <c r="AG390" s="59"/>
      <c r="AH390" s="59" t="s">
        <v>1635</v>
      </c>
    </row>
    <row r="391" spans="22:34" x14ac:dyDescent="0.25">
      <c r="V391" s="59" t="s">
        <v>925</v>
      </c>
      <c r="W391" s="46">
        <v>0</v>
      </c>
      <c r="X391" s="46">
        <v>0.99</v>
      </c>
      <c r="Y391" s="46">
        <v>0.01</v>
      </c>
      <c r="Z391" s="46">
        <v>0</v>
      </c>
      <c r="AA391" s="46">
        <v>0</v>
      </c>
      <c r="AB391" s="46">
        <v>0</v>
      </c>
      <c r="AC391" s="46">
        <v>0.01</v>
      </c>
      <c r="AD391" s="46">
        <v>0</v>
      </c>
      <c r="AE391" s="46">
        <v>0.99</v>
      </c>
      <c r="AF391" s="59" t="s">
        <v>1576</v>
      </c>
      <c r="AG391" s="59"/>
      <c r="AH391" s="59" t="s">
        <v>1635</v>
      </c>
    </row>
    <row r="392" spans="22:34" x14ac:dyDescent="0.25">
      <c r="V392" s="59" t="s">
        <v>661</v>
      </c>
      <c r="W392" s="46">
        <v>0.63</v>
      </c>
      <c r="X392" s="46">
        <v>0.13</v>
      </c>
      <c r="Y392" s="46">
        <v>0.03</v>
      </c>
      <c r="Z392" s="46">
        <v>0.01</v>
      </c>
      <c r="AA392" s="46">
        <v>0.21</v>
      </c>
      <c r="AB392" s="46">
        <v>3.4000000000000002E-2</v>
      </c>
      <c r="AC392" s="46">
        <v>1.7000000000000029E-2</v>
      </c>
      <c r="AD392" s="46">
        <v>0.1008</v>
      </c>
      <c r="AE392" s="46">
        <v>0.98299999999999998</v>
      </c>
      <c r="AF392" s="59" t="s">
        <v>1576</v>
      </c>
      <c r="AG392" s="59"/>
      <c r="AH392" s="59" t="s">
        <v>1635</v>
      </c>
    </row>
    <row r="393" spans="22:34" x14ac:dyDescent="0.25">
      <c r="V393" s="59" t="s">
        <v>1744</v>
      </c>
      <c r="W393" s="46">
        <v>0.34100000000000003</v>
      </c>
      <c r="X393" s="46">
        <v>1.6E-2</v>
      </c>
      <c r="Y393" s="46">
        <v>0.56100000000000005</v>
      </c>
      <c r="Z393" s="46">
        <v>0.49779999999999996</v>
      </c>
      <c r="AA393" s="46">
        <v>8.199999999999999E-2</v>
      </c>
      <c r="AB393" s="46">
        <v>1.0200000000000001E-2</v>
      </c>
      <c r="AC393" s="46">
        <v>5.2999999999999971E-2</v>
      </c>
      <c r="AD393" s="46">
        <v>5.4560000000000004E-2</v>
      </c>
      <c r="AE393" s="46">
        <v>0.94700000000000006</v>
      </c>
      <c r="AF393" s="59" t="s">
        <v>526</v>
      </c>
      <c r="AG393" s="59"/>
      <c r="AH393" s="59" t="s">
        <v>1635</v>
      </c>
    </row>
    <row r="394" spans="22:34" x14ac:dyDescent="0.25">
      <c r="V394" s="59" t="s">
        <v>1034</v>
      </c>
      <c r="W394" s="46">
        <v>0.25</v>
      </c>
      <c r="X394" s="46">
        <v>0.01</v>
      </c>
      <c r="Y394" s="46">
        <v>0.66</v>
      </c>
      <c r="Z394" s="46">
        <v>5.0000000000000001E-3</v>
      </c>
      <c r="AA394" s="46">
        <v>0.08</v>
      </c>
      <c r="AB394" s="46">
        <v>0.02</v>
      </c>
      <c r="AC394" s="46">
        <v>0.08</v>
      </c>
      <c r="AD394" s="46">
        <v>0.04</v>
      </c>
      <c r="AE394" s="46">
        <v>0.92</v>
      </c>
      <c r="AF394" s="59" t="s">
        <v>1576</v>
      </c>
      <c r="AG394" s="59"/>
      <c r="AH394" s="59" t="s">
        <v>1635</v>
      </c>
    </row>
    <row r="395" spans="22:34" x14ac:dyDescent="0.25">
      <c r="V395" s="59" t="s">
        <v>1033</v>
      </c>
      <c r="W395" s="46">
        <v>0.3</v>
      </c>
      <c r="X395" s="46">
        <v>0.01</v>
      </c>
      <c r="Y395" s="46">
        <v>0.61</v>
      </c>
      <c r="Z395" s="46">
        <v>0.03</v>
      </c>
      <c r="AA395" s="46">
        <v>0.08</v>
      </c>
      <c r="AB395" s="46">
        <v>0</v>
      </c>
      <c r="AC395" s="46">
        <v>0.08</v>
      </c>
      <c r="AD395" s="46">
        <v>4.8000000000000001E-2</v>
      </c>
      <c r="AE395" s="46">
        <v>0.92</v>
      </c>
      <c r="AF395" s="59" t="s">
        <v>1576</v>
      </c>
      <c r="AG395" s="59"/>
      <c r="AH395" s="59" t="s">
        <v>1635</v>
      </c>
    </row>
    <row r="396" spans="22:34" x14ac:dyDescent="0.25">
      <c r="V396" s="59" t="s">
        <v>893</v>
      </c>
      <c r="W396" s="46">
        <v>0.48</v>
      </c>
      <c r="X396" s="46">
        <v>3.6000000000000004E-2</v>
      </c>
      <c r="Y396" s="46">
        <v>0.45299999999999996</v>
      </c>
      <c r="Z396" s="46">
        <v>3.1E-2</v>
      </c>
      <c r="AA396" s="46">
        <v>3.1E-2</v>
      </c>
      <c r="AB396" s="46">
        <v>1.15E-2</v>
      </c>
      <c r="AC396" s="46">
        <v>8.5000000000000006E-2</v>
      </c>
      <c r="AD396" s="46">
        <v>7.6799999999999993E-2</v>
      </c>
      <c r="AE396" s="46">
        <v>0.91500000000000004</v>
      </c>
      <c r="AF396" s="59" t="s">
        <v>1576</v>
      </c>
      <c r="AG396" s="59"/>
      <c r="AH396" s="59" t="s">
        <v>1635</v>
      </c>
    </row>
    <row r="397" spans="22:34" x14ac:dyDescent="0.25">
      <c r="V397" s="59" t="s">
        <v>1040</v>
      </c>
      <c r="W397" s="46">
        <v>0.15</v>
      </c>
      <c r="X397" s="46">
        <v>3.5000000000000003E-2</v>
      </c>
      <c r="Y397" s="46">
        <v>0.76500000000000001</v>
      </c>
      <c r="Z397" s="46">
        <v>0.08</v>
      </c>
      <c r="AA397" s="46">
        <v>0.05</v>
      </c>
      <c r="AB397" s="46">
        <v>9.1999999999999998E-3</v>
      </c>
      <c r="AC397" s="46">
        <v>0.1</v>
      </c>
      <c r="AD397" s="46">
        <v>2.4E-2</v>
      </c>
      <c r="AE397" s="46">
        <v>0.9</v>
      </c>
      <c r="AF397" s="59" t="s">
        <v>1576</v>
      </c>
      <c r="AG397" s="59"/>
      <c r="AH397" s="59" t="s">
        <v>1635</v>
      </c>
    </row>
    <row r="398" spans="22:34" x14ac:dyDescent="0.25">
      <c r="V398" s="59" t="s">
        <v>1592</v>
      </c>
      <c r="W398" s="46">
        <v>0.1</v>
      </c>
      <c r="X398" s="46">
        <v>0.01</v>
      </c>
      <c r="Y398" s="46">
        <v>0.85</v>
      </c>
      <c r="Z398" s="46">
        <v>0.03</v>
      </c>
      <c r="AA398" s="46">
        <v>0.04</v>
      </c>
      <c r="AB398" s="46">
        <v>0</v>
      </c>
      <c r="AC398" s="46">
        <v>0.52</v>
      </c>
      <c r="AD398" s="46">
        <v>1.6E-2</v>
      </c>
      <c r="AE398" s="46">
        <v>0.48</v>
      </c>
      <c r="AF398" s="59" t="s">
        <v>1576</v>
      </c>
      <c r="AG398" s="59"/>
      <c r="AH398" s="59" t="s">
        <v>1635</v>
      </c>
    </row>
    <row r="399" spans="22:34" x14ac:dyDescent="0.25">
      <c r="V399" s="59" t="s">
        <v>1745</v>
      </c>
      <c r="W399" s="46">
        <v>0.20699999999999999</v>
      </c>
      <c r="X399" s="46">
        <v>0.01</v>
      </c>
      <c r="Y399" s="46">
        <v>0.753</v>
      </c>
      <c r="Z399" s="46">
        <v>0.16700000000000004</v>
      </c>
      <c r="AA399" s="46">
        <v>0.03</v>
      </c>
      <c r="AB399" s="46">
        <v>4.0000000000000001E-3</v>
      </c>
      <c r="AC399" s="46">
        <v>0.13599999999999995</v>
      </c>
      <c r="AD399" s="46">
        <v>3.3119999999999997E-2</v>
      </c>
      <c r="AE399" s="46">
        <v>0.8640000000000001</v>
      </c>
      <c r="AF399" s="59" t="s">
        <v>526</v>
      </c>
      <c r="AG399" s="59"/>
      <c r="AH399" s="59" t="s">
        <v>1635</v>
      </c>
    </row>
    <row r="400" spans="22:34" x14ac:dyDescent="0.25">
      <c r="V400" s="59" t="s">
        <v>1746</v>
      </c>
      <c r="W400" s="46">
        <v>0.22</v>
      </c>
      <c r="X400" s="46">
        <v>1.6E-2</v>
      </c>
      <c r="Y400" s="46">
        <v>0.73</v>
      </c>
      <c r="Z400" s="46">
        <v>0.16199999999999989</v>
      </c>
      <c r="AA400" s="46">
        <v>3.4000000000000002E-2</v>
      </c>
      <c r="AB400" s="46">
        <v>4.0000000000000001E-3</v>
      </c>
      <c r="AC400" s="46">
        <v>0.14000000000000001</v>
      </c>
      <c r="AD400" s="46">
        <v>3.5200000000000002E-2</v>
      </c>
      <c r="AE400" s="46">
        <v>0.86</v>
      </c>
      <c r="AF400" s="59" t="s">
        <v>526</v>
      </c>
      <c r="AG400" s="59"/>
      <c r="AH400" s="59" t="s">
        <v>1635</v>
      </c>
    </row>
    <row r="401" spans="22:34" x14ac:dyDescent="0.25">
      <c r="V401" s="59" t="s">
        <v>1747</v>
      </c>
      <c r="W401" s="46">
        <v>0.38700000000000001</v>
      </c>
      <c r="X401" s="46">
        <v>1.8000000000000002E-2</v>
      </c>
      <c r="Y401" s="46">
        <v>0.52500000000000002</v>
      </c>
      <c r="Z401" s="46">
        <v>0.35199999999999987</v>
      </c>
      <c r="AA401" s="46">
        <v>7.0000000000000007E-2</v>
      </c>
      <c r="AB401" s="46">
        <v>1.1000000000000001E-2</v>
      </c>
      <c r="AC401" s="46">
        <v>0.11</v>
      </c>
      <c r="AD401" s="46">
        <v>6.1920000000000003E-2</v>
      </c>
      <c r="AE401" s="46">
        <v>0.89</v>
      </c>
      <c r="AF401" s="59" t="s">
        <v>526</v>
      </c>
      <c r="AG401" s="59"/>
      <c r="AH401" s="59" t="s">
        <v>1635</v>
      </c>
    </row>
    <row r="402" spans="22:34" x14ac:dyDescent="0.25">
      <c r="V402" s="59" t="s">
        <v>1748</v>
      </c>
      <c r="W402" s="46">
        <v>0</v>
      </c>
      <c r="X402" s="46">
        <v>1</v>
      </c>
      <c r="Y402" s="46">
        <v>0</v>
      </c>
      <c r="Z402" s="46">
        <v>0</v>
      </c>
      <c r="AA402" s="46">
        <v>0</v>
      </c>
      <c r="AB402" s="46">
        <v>0</v>
      </c>
      <c r="AC402" s="46">
        <v>0</v>
      </c>
      <c r="AD402" s="46">
        <v>0</v>
      </c>
      <c r="AE402" s="46">
        <v>1</v>
      </c>
      <c r="AF402" s="59" t="s">
        <v>526</v>
      </c>
      <c r="AG402" s="59"/>
      <c r="AH402" s="59" t="s">
        <v>1635</v>
      </c>
    </row>
    <row r="403" spans="22:34" x14ac:dyDescent="0.25">
      <c r="V403" s="59" t="s">
        <v>1749</v>
      </c>
      <c r="W403" s="46">
        <v>0</v>
      </c>
      <c r="X403" s="46">
        <v>1</v>
      </c>
      <c r="Y403" s="46">
        <v>0</v>
      </c>
      <c r="Z403" s="46">
        <v>0</v>
      </c>
      <c r="AA403" s="46">
        <v>0</v>
      </c>
      <c r="AB403" s="46">
        <v>0</v>
      </c>
      <c r="AC403" s="46">
        <v>0</v>
      </c>
      <c r="AD403" s="46">
        <v>0</v>
      </c>
      <c r="AE403" s="46">
        <v>1</v>
      </c>
      <c r="AF403" s="59" t="s">
        <v>526</v>
      </c>
      <c r="AG403" s="59"/>
      <c r="AH403" s="59" t="s">
        <v>1635</v>
      </c>
    </row>
    <row r="404" spans="22:34" x14ac:dyDescent="0.25">
      <c r="V404" s="59" t="s">
        <v>1750</v>
      </c>
      <c r="W404" s="46">
        <v>0.191</v>
      </c>
      <c r="X404" s="46">
        <v>0.42</v>
      </c>
      <c r="Y404" s="46">
        <v>0.34900000000000003</v>
      </c>
      <c r="Z404" s="46">
        <v>0.21340000000000003</v>
      </c>
      <c r="AA404" s="46">
        <v>0.04</v>
      </c>
      <c r="AB404" s="46">
        <v>6.5999999999999991E-3</v>
      </c>
      <c r="AC404" s="46">
        <v>7.7999999999999972E-2</v>
      </c>
      <c r="AD404" s="46">
        <v>3.056E-2</v>
      </c>
      <c r="AE404" s="46">
        <v>0.92200000000000004</v>
      </c>
      <c r="AF404" s="59" t="s">
        <v>526</v>
      </c>
      <c r="AG404" s="59"/>
      <c r="AH404" s="59" t="s">
        <v>1635</v>
      </c>
    </row>
    <row r="405" spans="22:34" x14ac:dyDescent="0.25">
      <c r="V405" s="59" t="s">
        <v>776</v>
      </c>
      <c r="W405" s="46">
        <v>0.35200000000000004</v>
      </c>
      <c r="X405" s="46">
        <v>7.4999999999999997E-2</v>
      </c>
      <c r="Y405" s="46">
        <v>0.503</v>
      </c>
      <c r="Z405" s="46">
        <v>0.11900000000000001</v>
      </c>
      <c r="AA405" s="46">
        <v>7.0000000000000007E-2</v>
      </c>
      <c r="AB405" s="46">
        <v>1.15E-2</v>
      </c>
      <c r="AC405" s="46">
        <v>0.10099999999999994</v>
      </c>
      <c r="AD405" s="46">
        <v>5.6320000000000009E-2</v>
      </c>
      <c r="AE405" s="46">
        <v>0.89900000000000002</v>
      </c>
      <c r="AF405" s="59" t="s">
        <v>1576</v>
      </c>
      <c r="AG405" s="59"/>
      <c r="AH405" s="59" t="s">
        <v>1635</v>
      </c>
    </row>
    <row r="406" spans="22:34" x14ac:dyDescent="0.25">
      <c r="V406" s="59" t="s">
        <v>775</v>
      </c>
      <c r="W406" s="46">
        <v>0.37</v>
      </c>
      <c r="X406" s="46">
        <v>0.02</v>
      </c>
      <c r="Y406" s="46">
        <v>0.53600000000000003</v>
      </c>
      <c r="Z406" s="46">
        <v>0.127</v>
      </c>
      <c r="AA406" s="46">
        <v>7.400000000000001E-2</v>
      </c>
      <c r="AB406" s="46">
        <v>6.6E-3</v>
      </c>
      <c r="AC406" s="46">
        <v>0.1</v>
      </c>
      <c r="AD406" s="46">
        <v>5.9200000000000003E-2</v>
      </c>
      <c r="AE406" s="46">
        <v>0.9</v>
      </c>
      <c r="AF406" s="59" t="s">
        <v>1576</v>
      </c>
      <c r="AG406" s="59"/>
      <c r="AH406" s="59" t="s">
        <v>1635</v>
      </c>
    </row>
    <row r="407" spans="22:34" x14ac:dyDescent="0.25">
      <c r="V407" s="59" t="s">
        <v>784</v>
      </c>
      <c r="W407" s="46">
        <v>0.2</v>
      </c>
      <c r="X407" s="46">
        <v>0.43700000000000006</v>
      </c>
      <c r="Y407" s="46">
        <v>0.32299999999999995</v>
      </c>
      <c r="Z407" s="46">
        <v>5.2000000000000005E-2</v>
      </c>
      <c r="AA407" s="46">
        <v>0.04</v>
      </c>
      <c r="AB407" s="46">
        <v>1.3500000000000002E-2</v>
      </c>
      <c r="AC407" s="46">
        <v>0.08</v>
      </c>
      <c r="AD407" s="46">
        <v>3.2000000000000001E-2</v>
      </c>
      <c r="AE407" s="46">
        <v>0.92</v>
      </c>
      <c r="AF407" s="59" t="s">
        <v>1576</v>
      </c>
      <c r="AG407" s="59"/>
      <c r="AH407" s="59" t="s">
        <v>1635</v>
      </c>
    </row>
    <row r="408" spans="22:34" x14ac:dyDescent="0.25">
      <c r="V408" s="59" t="s">
        <v>779</v>
      </c>
      <c r="W408" s="46">
        <v>0.32899999999999996</v>
      </c>
      <c r="X408" s="46">
        <v>3.2000000000000001E-2</v>
      </c>
      <c r="Y408" s="46">
        <v>0.57099999999999995</v>
      </c>
      <c r="Z408" s="46">
        <v>0.12</v>
      </c>
      <c r="AA408" s="46">
        <v>6.8000000000000005E-2</v>
      </c>
      <c r="AB408" s="46">
        <v>8.8000000000000005E-3</v>
      </c>
      <c r="AC408" s="46">
        <v>0.11</v>
      </c>
      <c r="AD408" s="46">
        <v>5.2639999999999992E-2</v>
      </c>
      <c r="AE408" s="46">
        <v>0.89</v>
      </c>
      <c r="AF408" s="59" t="s">
        <v>1576</v>
      </c>
      <c r="AG408" s="59"/>
      <c r="AH408" s="59" t="s">
        <v>1635</v>
      </c>
    </row>
    <row r="409" spans="22:34" x14ac:dyDescent="0.25">
      <c r="V409" s="59" t="s">
        <v>783</v>
      </c>
      <c r="W409" s="46">
        <v>0.36200000000000004</v>
      </c>
      <c r="X409" s="46">
        <v>3.7999999999999999E-2</v>
      </c>
      <c r="Y409" s="46">
        <v>0.52500000000000002</v>
      </c>
      <c r="Z409" s="46">
        <v>6.0999999999999999E-2</v>
      </c>
      <c r="AA409" s="46">
        <v>7.4999999999999997E-2</v>
      </c>
      <c r="AB409" s="46">
        <v>9.7999999999999997E-3</v>
      </c>
      <c r="AC409" s="46">
        <v>5.5999999999999946E-2</v>
      </c>
      <c r="AD409" s="46">
        <v>5.7920000000000006E-2</v>
      </c>
      <c r="AE409" s="46">
        <v>0.94400000000000006</v>
      </c>
      <c r="AF409" s="59" t="s">
        <v>1576</v>
      </c>
      <c r="AG409" s="59"/>
      <c r="AH409" s="59" t="s">
        <v>1635</v>
      </c>
    </row>
    <row r="410" spans="22:34" x14ac:dyDescent="0.25">
      <c r="V410" s="59" t="s">
        <v>780</v>
      </c>
      <c r="W410" s="46">
        <v>0.35200000000000004</v>
      </c>
      <c r="X410" s="46">
        <v>0.02</v>
      </c>
      <c r="Y410" s="46">
        <v>0.55799999999999994</v>
      </c>
      <c r="Z410" s="46">
        <v>0.12</v>
      </c>
      <c r="AA410" s="46">
        <v>7.0000000000000007E-2</v>
      </c>
      <c r="AB410" s="46">
        <v>1.2699999999999999E-2</v>
      </c>
      <c r="AC410" s="46">
        <v>0.11</v>
      </c>
      <c r="AD410" s="46">
        <v>5.6320000000000009E-2</v>
      </c>
      <c r="AE410" s="46">
        <v>0.89</v>
      </c>
      <c r="AF410" s="59" t="s">
        <v>1576</v>
      </c>
      <c r="AG410" s="59"/>
      <c r="AH410" s="59" t="s">
        <v>1635</v>
      </c>
    </row>
    <row r="411" spans="22:34" x14ac:dyDescent="0.25">
      <c r="V411" s="59" t="s">
        <v>777</v>
      </c>
      <c r="W411" s="46">
        <v>0.39100000000000001</v>
      </c>
      <c r="X411" s="46">
        <v>3.5000000000000003E-2</v>
      </c>
      <c r="Y411" s="46">
        <v>0.51</v>
      </c>
      <c r="Z411" s="46">
        <v>0.114</v>
      </c>
      <c r="AA411" s="46">
        <v>6.4000000000000001E-2</v>
      </c>
      <c r="AB411" s="46">
        <v>1.24E-2</v>
      </c>
      <c r="AC411" s="46">
        <v>8.4000000000000061E-2</v>
      </c>
      <c r="AD411" s="46">
        <v>6.2560000000000004E-2</v>
      </c>
      <c r="AE411" s="46">
        <v>0.91599999999999993</v>
      </c>
      <c r="AF411" s="59" t="s">
        <v>1576</v>
      </c>
      <c r="AG411" s="59"/>
      <c r="AH411" s="59" t="s">
        <v>1635</v>
      </c>
    </row>
    <row r="412" spans="22:34" x14ac:dyDescent="0.25">
      <c r="V412" s="59" t="s">
        <v>781</v>
      </c>
      <c r="W412" s="46">
        <v>0.63500000000000001</v>
      </c>
      <c r="X412" s="46">
        <v>0.08</v>
      </c>
      <c r="Y412" s="46">
        <v>0.22600000000000001</v>
      </c>
      <c r="Z412" s="46">
        <v>4.7E-2</v>
      </c>
      <c r="AA412" s="46">
        <v>5.9000000000000004E-2</v>
      </c>
      <c r="AB412" s="46">
        <v>5.4000000000000003E-3</v>
      </c>
      <c r="AC412" s="46">
        <v>7.7999999999999972E-2</v>
      </c>
      <c r="AD412" s="46">
        <v>0.1016</v>
      </c>
      <c r="AE412" s="46">
        <v>0.92200000000000004</v>
      </c>
      <c r="AF412" s="59" t="s">
        <v>1576</v>
      </c>
      <c r="AG412" s="59"/>
      <c r="AH412" s="59" t="s">
        <v>1635</v>
      </c>
    </row>
    <row r="413" spans="22:34" x14ac:dyDescent="0.25">
      <c r="V413" s="59" t="s">
        <v>781</v>
      </c>
      <c r="W413" s="46">
        <v>0.60599999999999998</v>
      </c>
      <c r="X413" s="46">
        <v>3.7000000000000005E-2</v>
      </c>
      <c r="Y413" s="46">
        <v>0.30699999999999994</v>
      </c>
      <c r="Z413" s="46">
        <v>0.04</v>
      </c>
      <c r="AA413" s="46">
        <v>0.05</v>
      </c>
      <c r="AB413" s="46">
        <v>9.7999999999999997E-3</v>
      </c>
      <c r="AC413" s="46">
        <v>4.0999999999999946E-2</v>
      </c>
      <c r="AD413" s="46">
        <v>9.6959999999999991E-2</v>
      </c>
      <c r="AE413" s="46">
        <v>0.95900000000000007</v>
      </c>
      <c r="AF413" s="59" t="s">
        <v>1576</v>
      </c>
      <c r="AG413" s="59"/>
      <c r="AH413" s="59" t="s">
        <v>1635</v>
      </c>
    </row>
    <row r="414" spans="22:34" x14ac:dyDescent="0.25">
      <c r="V414" s="59" t="s">
        <v>781</v>
      </c>
      <c r="W414" s="46">
        <v>0.65500000000000003</v>
      </c>
      <c r="X414" s="46">
        <v>0.02</v>
      </c>
      <c r="Y414" s="46">
        <v>0.23699999999999999</v>
      </c>
      <c r="Z414" s="46">
        <v>3.5000000000000003E-2</v>
      </c>
      <c r="AA414" s="46">
        <v>8.8000000000000009E-2</v>
      </c>
      <c r="AB414" s="46">
        <v>8.8000000000000005E-3</v>
      </c>
      <c r="AC414" s="46">
        <v>7.4000000000000052E-2</v>
      </c>
      <c r="AD414" s="46">
        <v>0.1048</v>
      </c>
      <c r="AE414" s="46">
        <v>0.92599999999999993</v>
      </c>
      <c r="AF414" s="59" t="s">
        <v>1576</v>
      </c>
      <c r="AG414" s="59"/>
      <c r="AH414" s="59" t="s">
        <v>1635</v>
      </c>
    </row>
    <row r="415" spans="22:34" x14ac:dyDescent="0.25">
      <c r="V415" s="59" t="s">
        <v>778</v>
      </c>
      <c r="W415" s="46">
        <v>0.39299999999999996</v>
      </c>
      <c r="X415" s="46">
        <v>1.1000000000000001E-2</v>
      </c>
      <c r="Y415" s="46">
        <v>0.52500000000000002</v>
      </c>
      <c r="Z415" s="46">
        <v>0.11</v>
      </c>
      <c r="AA415" s="46">
        <v>7.0999999999999994E-2</v>
      </c>
      <c r="AB415" s="46">
        <v>1.3000000000000001E-2</v>
      </c>
      <c r="AC415" s="46">
        <v>7.7000000000000027E-2</v>
      </c>
      <c r="AD415" s="46">
        <v>6.2879999999999991E-2</v>
      </c>
      <c r="AE415" s="46">
        <v>0.92299999999999993</v>
      </c>
      <c r="AF415" s="59" t="s">
        <v>1576</v>
      </c>
      <c r="AG415" s="59"/>
      <c r="AH415" s="59" t="s">
        <v>1635</v>
      </c>
    </row>
    <row r="416" spans="22:34" x14ac:dyDescent="0.25">
      <c r="V416" s="59" t="s">
        <v>782</v>
      </c>
      <c r="W416" s="46">
        <v>0.35</v>
      </c>
      <c r="X416" s="46">
        <v>2.5000000000000001E-2</v>
      </c>
      <c r="Y416" s="46">
        <v>0.55100000000000005</v>
      </c>
      <c r="Z416" s="46">
        <v>0.12</v>
      </c>
      <c r="AA416" s="46">
        <v>7.400000000000001E-2</v>
      </c>
      <c r="AB416" s="46">
        <v>1.1000000000000001E-2</v>
      </c>
      <c r="AC416" s="46">
        <v>0.1</v>
      </c>
      <c r="AD416" s="46">
        <v>5.5999999999999994E-2</v>
      </c>
      <c r="AE416" s="46">
        <v>0.9</v>
      </c>
      <c r="AF416" s="59" t="s">
        <v>1576</v>
      </c>
      <c r="AG416" s="59"/>
      <c r="AH416" s="59" t="s">
        <v>1635</v>
      </c>
    </row>
    <row r="417" spans="22:34" x14ac:dyDescent="0.25">
      <c r="V417" s="59" t="s">
        <v>1751</v>
      </c>
      <c r="W417" s="46">
        <v>0.08</v>
      </c>
      <c r="X417" s="46">
        <v>1.2E-2</v>
      </c>
      <c r="Y417" s="46">
        <v>0.89800000000000002</v>
      </c>
      <c r="Z417" s="46">
        <v>1.0999999999999944E-2</v>
      </c>
      <c r="AA417" s="46">
        <v>0.01</v>
      </c>
      <c r="AB417" s="46">
        <v>2E-3</v>
      </c>
      <c r="AC417" s="46">
        <v>0.12599999999999995</v>
      </c>
      <c r="AD417" s="46">
        <v>1.2800000000000001E-2</v>
      </c>
      <c r="AE417" s="46">
        <v>0.87400000000000011</v>
      </c>
      <c r="AF417" s="59" t="s">
        <v>526</v>
      </c>
      <c r="AG417" s="59"/>
      <c r="AH417" s="59" t="s">
        <v>1635</v>
      </c>
    </row>
    <row r="418" spans="22:34" x14ac:dyDescent="0.25">
      <c r="V418" s="59" t="s">
        <v>1752</v>
      </c>
      <c r="W418" s="46">
        <v>0.08</v>
      </c>
      <c r="X418" s="46">
        <v>1.2E-2</v>
      </c>
      <c r="Y418" s="46">
        <v>0.89800000000000002</v>
      </c>
      <c r="Z418" s="46">
        <v>1.0999999999999944E-2</v>
      </c>
      <c r="AA418" s="46">
        <v>0.01</v>
      </c>
      <c r="AB418" s="46">
        <v>2E-3</v>
      </c>
      <c r="AC418" s="46">
        <v>0.12599999999999995</v>
      </c>
      <c r="AD418" s="46">
        <v>1.2800000000000001E-2</v>
      </c>
      <c r="AE418" s="46">
        <v>0.87400000000000011</v>
      </c>
      <c r="AF418" s="59" t="s">
        <v>526</v>
      </c>
      <c r="AG418" s="59"/>
      <c r="AH418" s="59" t="s">
        <v>1635</v>
      </c>
    </row>
    <row r="419" spans="22:34" x14ac:dyDescent="0.25">
      <c r="V419" s="59" t="s">
        <v>787</v>
      </c>
      <c r="W419" s="46">
        <v>0.125</v>
      </c>
      <c r="X419" s="46">
        <v>0.115</v>
      </c>
      <c r="Y419" s="46">
        <v>0.628</v>
      </c>
      <c r="Z419" s="46">
        <v>0.127</v>
      </c>
      <c r="AA419" s="46">
        <v>0.13200000000000001</v>
      </c>
      <c r="AB419" s="46">
        <v>1.3999999999999999E-2</v>
      </c>
      <c r="AC419" s="46">
        <v>0.105</v>
      </c>
      <c r="AD419" s="46">
        <v>0.02</v>
      </c>
      <c r="AE419" s="46">
        <v>0.89500000000000002</v>
      </c>
      <c r="AF419" s="59" t="s">
        <v>1576</v>
      </c>
      <c r="AG419" s="59"/>
      <c r="AH419" s="59" t="s">
        <v>1635</v>
      </c>
    </row>
    <row r="420" spans="22:34" x14ac:dyDescent="0.25">
      <c r="V420" s="59" t="s">
        <v>787</v>
      </c>
      <c r="W420" s="46">
        <v>0.128</v>
      </c>
      <c r="X420" s="46">
        <v>0.13800000000000001</v>
      </c>
      <c r="Y420" s="46">
        <v>0.627</v>
      </c>
      <c r="Z420" s="46">
        <v>0.10299999999999997</v>
      </c>
      <c r="AA420" s="46">
        <v>0.107</v>
      </c>
      <c r="AB420" s="46">
        <v>1.3999999999999999E-2</v>
      </c>
      <c r="AC420" s="46">
        <v>0.1</v>
      </c>
      <c r="AD420" s="46">
        <v>2.0480000000000002E-2</v>
      </c>
      <c r="AE420" s="46">
        <v>0.9</v>
      </c>
      <c r="AF420" s="59" t="s">
        <v>526</v>
      </c>
      <c r="AG420" s="59"/>
      <c r="AH420" s="59" t="s">
        <v>1635</v>
      </c>
    </row>
    <row r="421" spans="22:34" x14ac:dyDescent="0.25">
      <c r="V421" s="59" t="s">
        <v>788</v>
      </c>
      <c r="W421" s="46">
        <v>0.157</v>
      </c>
      <c r="X421" s="46">
        <v>2.4E-2</v>
      </c>
      <c r="Y421" s="46">
        <v>0.71599999999999997</v>
      </c>
      <c r="Z421" s="46">
        <v>0.10199999999999999</v>
      </c>
      <c r="AA421" s="46">
        <v>0.10300000000000001</v>
      </c>
      <c r="AB421" s="46">
        <v>4.3E-3</v>
      </c>
      <c r="AC421" s="46">
        <v>0.10599999999999994</v>
      </c>
      <c r="AD421" s="46">
        <v>2.512E-2</v>
      </c>
      <c r="AE421" s="46">
        <v>0.89400000000000002</v>
      </c>
      <c r="AF421" s="59" t="s">
        <v>1576</v>
      </c>
      <c r="AG421" s="59"/>
      <c r="AH421" s="59" t="s">
        <v>1635</v>
      </c>
    </row>
    <row r="422" spans="22:34" x14ac:dyDescent="0.25">
      <c r="V422" s="59" t="s">
        <v>785</v>
      </c>
      <c r="W422" s="46">
        <v>0.13500000000000001</v>
      </c>
      <c r="X422" s="46">
        <v>0.245</v>
      </c>
      <c r="Y422" s="46">
        <v>0.51</v>
      </c>
      <c r="Z422" s="46">
        <v>0.16500000000000001</v>
      </c>
      <c r="AA422" s="46">
        <v>0.11</v>
      </c>
      <c r="AB422" s="46">
        <v>4.3E-3</v>
      </c>
      <c r="AC422" s="46">
        <v>0.08</v>
      </c>
      <c r="AD422" s="46">
        <v>2.1600000000000001E-2</v>
      </c>
      <c r="AE422" s="46">
        <v>0.92</v>
      </c>
      <c r="AF422" s="59" t="s">
        <v>1576</v>
      </c>
      <c r="AG422" s="59"/>
      <c r="AH422" s="59" t="s">
        <v>1635</v>
      </c>
    </row>
    <row r="423" spans="22:34" x14ac:dyDescent="0.25">
      <c r="V423" s="59" t="s">
        <v>786</v>
      </c>
      <c r="W423" s="46">
        <v>0.11599999999999999</v>
      </c>
      <c r="X423" s="46">
        <v>9.6999999999999989E-2</v>
      </c>
      <c r="Y423" s="46">
        <v>0.7360000000000001</v>
      </c>
      <c r="Z423" s="46">
        <v>0.13</v>
      </c>
      <c r="AA423" s="46">
        <v>5.0999999999999997E-2</v>
      </c>
      <c r="AB423" s="46">
        <v>1.0200000000000001E-2</v>
      </c>
      <c r="AC423" s="46">
        <v>0.10400000000000005</v>
      </c>
      <c r="AD423" s="46">
        <v>1.856E-2</v>
      </c>
      <c r="AE423" s="46">
        <v>0.89599999999999991</v>
      </c>
      <c r="AF423" s="59" t="s">
        <v>1576</v>
      </c>
      <c r="AG423" s="59"/>
      <c r="AH423" s="59" t="s">
        <v>1635</v>
      </c>
    </row>
    <row r="424" spans="22:34" x14ac:dyDescent="0.25">
      <c r="V424" s="59" t="s">
        <v>790</v>
      </c>
      <c r="W424" s="46">
        <v>0.14400000000000002</v>
      </c>
      <c r="X424" s="46">
        <v>1.9E-2</v>
      </c>
      <c r="Y424" s="46">
        <v>0.70999999999999985</v>
      </c>
      <c r="Z424" s="46">
        <v>0.11900000000000001</v>
      </c>
      <c r="AA424" s="46">
        <v>0.127</v>
      </c>
      <c r="AB424" s="46">
        <v>9.0000000000000011E-3</v>
      </c>
      <c r="AC424" s="46">
        <v>0.10799999999999997</v>
      </c>
      <c r="AD424" s="46">
        <v>2.3040000000000001E-2</v>
      </c>
      <c r="AE424" s="46">
        <v>0.89200000000000002</v>
      </c>
      <c r="AF424" s="59" t="s">
        <v>1576</v>
      </c>
      <c r="AG424" s="59"/>
      <c r="AH424" s="59" t="s">
        <v>1635</v>
      </c>
    </row>
    <row r="425" spans="22:34" x14ac:dyDescent="0.25">
      <c r="V425" s="59" t="s">
        <v>789</v>
      </c>
      <c r="W425" s="46">
        <v>0.13</v>
      </c>
      <c r="X425" s="46">
        <v>5.9000000000000004E-2</v>
      </c>
      <c r="Y425" s="46">
        <v>0.70099999999999996</v>
      </c>
      <c r="Z425" s="46">
        <v>0.13</v>
      </c>
      <c r="AA425" s="46">
        <v>0.11</v>
      </c>
      <c r="AB425" s="46">
        <v>4.3E-3</v>
      </c>
      <c r="AC425" s="46">
        <v>0.09</v>
      </c>
      <c r="AD425" s="46">
        <v>2.0799999999999999E-2</v>
      </c>
      <c r="AE425" s="46">
        <v>0.91</v>
      </c>
      <c r="AF425" s="59" t="s">
        <v>1576</v>
      </c>
      <c r="AG425" s="59"/>
      <c r="AH425" s="59" t="s">
        <v>1635</v>
      </c>
    </row>
    <row r="426" spans="22:34" x14ac:dyDescent="0.25">
      <c r="V426" s="59" t="s">
        <v>1753</v>
      </c>
      <c r="W426" s="46">
        <v>0.13800000000000001</v>
      </c>
      <c r="X426" s="46">
        <v>0.16400000000000003</v>
      </c>
      <c r="Y426" s="46">
        <v>0.69099999999999995</v>
      </c>
      <c r="Z426" s="46">
        <v>0.20499999999999999</v>
      </c>
      <c r="AA426" s="46">
        <v>7.000000000000001E-3</v>
      </c>
      <c r="AB426" s="46">
        <v>2.0999999999999999E-3</v>
      </c>
      <c r="AC426" s="46">
        <v>9.9000000000000005E-2</v>
      </c>
      <c r="AD426" s="46">
        <v>2.2080000000000002E-2</v>
      </c>
      <c r="AE426" s="46">
        <v>0.90099999999999991</v>
      </c>
      <c r="AF426" s="59" t="s">
        <v>526</v>
      </c>
      <c r="AG426" s="59"/>
      <c r="AH426" s="59" t="s">
        <v>1635</v>
      </c>
    </row>
    <row r="427" spans="22:34" x14ac:dyDescent="0.25">
      <c r="V427" s="59" t="s">
        <v>1754</v>
      </c>
      <c r="W427" s="46">
        <v>7.6999999999999999E-2</v>
      </c>
      <c r="X427" s="46">
        <v>1.2E-2</v>
      </c>
      <c r="Y427" s="46">
        <v>0.90199999999999991</v>
      </c>
      <c r="Z427" s="46">
        <v>2.9000000000000627E-3</v>
      </c>
      <c r="AA427" s="46">
        <v>9.0000000000000011E-3</v>
      </c>
      <c r="AB427" s="46">
        <v>2.1000000000000003E-3</v>
      </c>
      <c r="AC427" s="46">
        <v>0.12599999999999995</v>
      </c>
      <c r="AD427" s="46">
        <v>1.2319999999999999E-2</v>
      </c>
      <c r="AE427" s="46">
        <v>0.87400000000000011</v>
      </c>
      <c r="AF427" s="59" t="s">
        <v>526</v>
      </c>
      <c r="AG427" s="59"/>
      <c r="AH427" s="59" t="s">
        <v>1635</v>
      </c>
    </row>
    <row r="428" spans="22:34" x14ac:dyDescent="0.25">
      <c r="V428" s="59" t="s">
        <v>791</v>
      </c>
      <c r="W428" s="46">
        <v>0.129</v>
      </c>
      <c r="X428" s="46">
        <v>0.13</v>
      </c>
      <c r="Y428" s="46">
        <v>0.65500000000000003</v>
      </c>
      <c r="Z428" s="46">
        <v>4.4999999999999998E-2</v>
      </c>
      <c r="AA428" s="46">
        <v>8.5999999999999993E-2</v>
      </c>
      <c r="AB428" s="46">
        <v>9.0000000000000011E-3</v>
      </c>
      <c r="AC428" s="46">
        <v>0.1</v>
      </c>
      <c r="AD428" s="46">
        <v>2.0640000000000002E-2</v>
      </c>
      <c r="AE428" s="46">
        <v>0.9</v>
      </c>
      <c r="AF428" s="59" t="s">
        <v>1576</v>
      </c>
      <c r="AG428" s="59"/>
      <c r="AH428" s="59" t="s">
        <v>1635</v>
      </c>
    </row>
    <row r="429" spans="22:34" x14ac:dyDescent="0.25">
      <c r="V429" s="59" t="s">
        <v>792</v>
      </c>
      <c r="W429" s="46">
        <v>0.73599999999999999</v>
      </c>
      <c r="X429" s="46">
        <v>0.10199999999999999</v>
      </c>
      <c r="Y429" s="46">
        <v>0.12300000000000005</v>
      </c>
      <c r="Z429" s="46">
        <v>2.7000000000000003E-2</v>
      </c>
      <c r="AA429" s="46">
        <v>3.9E-2</v>
      </c>
      <c r="AB429" s="46">
        <v>4.3E-3</v>
      </c>
      <c r="AC429" s="46">
        <v>7.0000000000000007E-2</v>
      </c>
      <c r="AD429" s="46">
        <v>0.11776</v>
      </c>
      <c r="AE429" s="46">
        <v>0.93</v>
      </c>
      <c r="AF429" s="59" t="s">
        <v>1576</v>
      </c>
      <c r="AG429" s="59"/>
      <c r="AH429" s="59" t="s">
        <v>1635</v>
      </c>
    </row>
    <row r="430" spans="22:34" x14ac:dyDescent="0.25">
      <c r="V430" s="59" t="s">
        <v>793</v>
      </c>
      <c r="W430" s="46">
        <v>0.5</v>
      </c>
      <c r="X430" s="46">
        <v>7.0999999999999994E-2</v>
      </c>
      <c r="Y430" s="46">
        <v>0.38299999999999995</v>
      </c>
      <c r="Z430" s="46">
        <v>1.4999999999999999E-2</v>
      </c>
      <c r="AA430" s="46">
        <v>4.5999999999999999E-2</v>
      </c>
      <c r="AB430" s="46">
        <v>5.0000000000000001E-3</v>
      </c>
      <c r="AC430" s="46">
        <v>8.2000000000000031E-2</v>
      </c>
      <c r="AD430" s="46">
        <v>0.08</v>
      </c>
      <c r="AE430" s="46">
        <v>0.91799999999999993</v>
      </c>
      <c r="AF430" s="59" t="s">
        <v>1576</v>
      </c>
      <c r="AG430" s="59"/>
      <c r="AH430" s="59" t="s">
        <v>1635</v>
      </c>
    </row>
    <row r="431" spans="22:34" x14ac:dyDescent="0.25">
      <c r="V431" s="59" t="s">
        <v>794</v>
      </c>
      <c r="W431" s="46">
        <v>8.900000000000001E-2</v>
      </c>
      <c r="X431" s="46">
        <v>1.3999999999999999E-2</v>
      </c>
      <c r="Y431" s="46">
        <v>0.8859999999999999</v>
      </c>
      <c r="Z431" s="46">
        <v>8.0000000000000002E-3</v>
      </c>
      <c r="AA431" s="46">
        <v>1.1000000000000001E-2</v>
      </c>
      <c r="AB431" s="46">
        <v>2.2000000000000001E-3</v>
      </c>
      <c r="AC431" s="46">
        <v>0.10400000000000005</v>
      </c>
      <c r="AD431" s="46">
        <v>1.4240000000000001E-2</v>
      </c>
      <c r="AE431" s="46">
        <v>0.89599999999999991</v>
      </c>
      <c r="AF431" s="59" t="s">
        <v>1576</v>
      </c>
      <c r="AG431" s="59"/>
      <c r="AH431" s="59" t="s">
        <v>1635</v>
      </c>
    </row>
    <row r="432" spans="22:34" x14ac:dyDescent="0.25">
      <c r="V432" s="59" t="s">
        <v>795</v>
      </c>
      <c r="W432" s="46">
        <v>8.199999999999999E-2</v>
      </c>
      <c r="X432" s="46">
        <v>1.7000000000000001E-2</v>
      </c>
      <c r="Y432" s="46">
        <v>0.84199999999999986</v>
      </c>
      <c r="Z432" s="46">
        <v>0.11</v>
      </c>
      <c r="AA432" s="46">
        <v>5.9000000000000004E-2</v>
      </c>
      <c r="AB432" s="46">
        <v>2E-3</v>
      </c>
      <c r="AC432" s="46">
        <v>0.12099999999999994</v>
      </c>
      <c r="AD432" s="46">
        <v>1.3119999999999998E-2</v>
      </c>
      <c r="AE432" s="46">
        <v>0.879</v>
      </c>
      <c r="AF432" s="59" t="s">
        <v>1576</v>
      </c>
      <c r="AG432" s="59"/>
      <c r="AH432" s="59" t="s">
        <v>1635</v>
      </c>
    </row>
    <row r="433" spans="22:34" x14ac:dyDescent="0.25">
      <c r="V433" s="59" t="s">
        <v>796</v>
      </c>
      <c r="W433" s="46">
        <v>0.03</v>
      </c>
      <c r="X433" s="46">
        <v>6.0000000000000001E-3</v>
      </c>
      <c r="Y433" s="46">
        <v>0.75</v>
      </c>
      <c r="Z433" s="46">
        <v>0.41700000000000004</v>
      </c>
      <c r="AA433" s="46">
        <v>0.214</v>
      </c>
      <c r="AB433" s="46">
        <v>1.1000000000000001E-3</v>
      </c>
      <c r="AC433" s="46">
        <v>8.2000000000000031E-2</v>
      </c>
      <c r="AD433" s="46">
        <v>4.7999999999999996E-3</v>
      </c>
      <c r="AE433" s="46">
        <v>0.91799999999999993</v>
      </c>
      <c r="AF433" s="59" t="s">
        <v>1576</v>
      </c>
      <c r="AG433" s="59"/>
      <c r="AH433" s="59" t="s">
        <v>1635</v>
      </c>
    </row>
    <row r="434" spans="22:34" x14ac:dyDescent="0.25">
      <c r="V434" s="59" t="s">
        <v>797</v>
      </c>
      <c r="W434" s="46">
        <v>6.8000000000000005E-2</v>
      </c>
      <c r="X434" s="46">
        <v>0.02</v>
      </c>
      <c r="Y434" s="46">
        <v>0.86199999999999999</v>
      </c>
      <c r="Z434" s="46">
        <v>0.1</v>
      </c>
      <c r="AA434" s="46">
        <v>0.05</v>
      </c>
      <c r="AB434" s="46">
        <v>4.0000000000000001E-3</v>
      </c>
      <c r="AC434" s="46">
        <v>0.15200000000000002</v>
      </c>
      <c r="AD434" s="46">
        <v>1.0880000000000001E-2</v>
      </c>
      <c r="AE434" s="46">
        <v>0.84799999999999998</v>
      </c>
      <c r="AF434" s="59" t="s">
        <v>1576</v>
      </c>
      <c r="AG434" s="59"/>
      <c r="AH434" s="59" t="s">
        <v>1635</v>
      </c>
    </row>
    <row r="435" spans="22:34" x14ac:dyDescent="0.25">
      <c r="V435" s="59" t="s">
        <v>798</v>
      </c>
      <c r="W435" s="46">
        <v>8.199999999999999E-2</v>
      </c>
      <c r="X435" s="46">
        <v>1.8000000000000002E-2</v>
      </c>
      <c r="Y435" s="46">
        <v>0.85699999999999998</v>
      </c>
      <c r="Z435" s="46">
        <v>9.0999999999999998E-2</v>
      </c>
      <c r="AA435" s="46">
        <v>4.2999999999999997E-2</v>
      </c>
      <c r="AB435" s="46">
        <v>3.5999999999999999E-3</v>
      </c>
      <c r="AC435" s="46">
        <v>0.13</v>
      </c>
      <c r="AD435" s="46">
        <v>1.3119999999999998E-2</v>
      </c>
      <c r="AE435" s="46">
        <v>0.87</v>
      </c>
      <c r="AF435" s="59" t="s">
        <v>1576</v>
      </c>
      <c r="AG435" s="59"/>
      <c r="AH435" s="59" t="s">
        <v>1635</v>
      </c>
    </row>
    <row r="436" spans="22:34" x14ac:dyDescent="0.25">
      <c r="V436" s="59" t="s">
        <v>1036</v>
      </c>
      <c r="W436" s="46">
        <v>0.5</v>
      </c>
      <c r="X436" s="46">
        <v>0.01</v>
      </c>
      <c r="Y436" s="46">
        <v>0.34</v>
      </c>
      <c r="Z436" s="46">
        <v>5.0000000000000001E-3</v>
      </c>
      <c r="AA436" s="46">
        <v>0.15</v>
      </c>
      <c r="AB436" s="46">
        <v>3.0299999999999997E-2</v>
      </c>
      <c r="AC436" s="46">
        <v>0.08</v>
      </c>
      <c r="AD436" s="46">
        <v>0.08</v>
      </c>
      <c r="AE436" s="46">
        <v>0.92</v>
      </c>
      <c r="AF436" s="59" t="s">
        <v>1576</v>
      </c>
      <c r="AG436" s="59"/>
      <c r="AH436" s="59" t="s">
        <v>1635</v>
      </c>
    </row>
    <row r="437" spans="22:34" x14ac:dyDescent="0.25">
      <c r="V437" s="59" t="s">
        <v>1593</v>
      </c>
      <c r="W437" s="46">
        <v>0.15</v>
      </c>
      <c r="X437" s="46">
        <v>2.5000000000000001E-2</v>
      </c>
      <c r="Y437" s="46">
        <v>0.69499999999999995</v>
      </c>
      <c r="Z437" s="46">
        <v>9.8000000000000004E-2</v>
      </c>
      <c r="AA437" s="46">
        <v>0.13</v>
      </c>
      <c r="AB437" s="46">
        <v>0</v>
      </c>
      <c r="AC437" s="46">
        <v>0.1</v>
      </c>
      <c r="AD437" s="46">
        <v>2.4E-2</v>
      </c>
      <c r="AE437" s="46">
        <v>0.9</v>
      </c>
      <c r="AF437" s="59" t="s">
        <v>1576</v>
      </c>
      <c r="AG437" s="59"/>
      <c r="AH437" s="59" t="s">
        <v>1635</v>
      </c>
    </row>
    <row r="438" spans="22:34" x14ac:dyDescent="0.25">
      <c r="V438" s="59" t="s">
        <v>1594</v>
      </c>
      <c r="W438" s="46">
        <v>0.15</v>
      </c>
      <c r="X438" s="46">
        <v>2.5000000000000001E-2</v>
      </c>
      <c r="Y438" s="46">
        <v>0.69499999999999995</v>
      </c>
      <c r="Z438" s="46">
        <v>9.8000000000000004E-2</v>
      </c>
      <c r="AA438" s="46">
        <v>0.13</v>
      </c>
      <c r="AB438" s="46">
        <v>0</v>
      </c>
      <c r="AC438" s="46">
        <v>0.1</v>
      </c>
      <c r="AD438" s="46">
        <v>2.4E-2</v>
      </c>
      <c r="AE438" s="46">
        <v>0.9</v>
      </c>
      <c r="AF438" s="59" t="s">
        <v>1576</v>
      </c>
      <c r="AG438" s="59"/>
      <c r="AH438" s="59" t="s">
        <v>1635</v>
      </c>
    </row>
    <row r="439" spans="22:34" x14ac:dyDescent="0.25">
      <c r="V439" s="59" t="s">
        <v>1595</v>
      </c>
      <c r="W439" s="46">
        <v>0.15</v>
      </c>
      <c r="X439" s="46">
        <v>2.5000000000000001E-2</v>
      </c>
      <c r="Y439" s="46">
        <v>0.69499999999999995</v>
      </c>
      <c r="Z439" s="46">
        <v>9.8000000000000004E-2</v>
      </c>
      <c r="AA439" s="46">
        <v>0.13</v>
      </c>
      <c r="AB439" s="46">
        <v>0</v>
      </c>
      <c r="AC439" s="46">
        <v>0.1</v>
      </c>
      <c r="AD439" s="46">
        <v>2.4E-2</v>
      </c>
      <c r="AE439" s="46">
        <v>0.9</v>
      </c>
      <c r="AF439" s="59" t="s">
        <v>1576</v>
      </c>
      <c r="AG439" s="59"/>
      <c r="AH439" s="59" t="s">
        <v>1635</v>
      </c>
    </row>
    <row r="440" spans="22:34" x14ac:dyDescent="0.25">
      <c r="V440" s="59" t="s">
        <v>1596</v>
      </c>
      <c r="W440" s="46">
        <v>0.15</v>
      </c>
      <c r="X440" s="46">
        <v>2.5000000000000001E-2</v>
      </c>
      <c r="Y440" s="46">
        <v>0.69499999999999995</v>
      </c>
      <c r="Z440" s="46">
        <v>9.8000000000000004E-2</v>
      </c>
      <c r="AA440" s="46">
        <v>0.13</v>
      </c>
      <c r="AB440" s="46">
        <v>0</v>
      </c>
      <c r="AC440" s="46">
        <v>0.1</v>
      </c>
      <c r="AD440" s="46">
        <v>2.4E-2</v>
      </c>
      <c r="AE440" s="46">
        <v>0.9</v>
      </c>
      <c r="AF440" s="59" t="s">
        <v>1576</v>
      </c>
      <c r="AG440" s="59"/>
      <c r="AH440" s="59" t="s">
        <v>1635</v>
      </c>
    </row>
    <row r="441" spans="22:34" x14ac:dyDescent="0.25">
      <c r="V441" s="59" t="s">
        <v>1597</v>
      </c>
      <c r="W441" s="46">
        <v>0.15</v>
      </c>
      <c r="X441" s="46">
        <v>2.5000000000000001E-2</v>
      </c>
      <c r="Y441" s="46">
        <v>0.79500000000000004</v>
      </c>
      <c r="Z441" s="46">
        <v>0.09</v>
      </c>
      <c r="AA441" s="46">
        <v>0.03</v>
      </c>
      <c r="AB441" s="46">
        <v>0</v>
      </c>
      <c r="AC441" s="46">
        <v>0.1</v>
      </c>
      <c r="AD441" s="46">
        <v>2.4E-2</v>
      </c>
      <c r="AE441" s="46">
        <v>0.9</v>
      </c>
      <c r="AF441" s="59" t="s">
        <v>1576</v>
      </c>
      <c r="AG441" s="59"/>
      <c r="AH441" s="59" t="s">
        <v>1635</v>
      </c>
    </row>
    <row r="442" spans="22:34" x14ac:dyDescent="0.25">
      <c r="V442" s="59" t="s">
        <v>1598</v>
      </c>
      <c r="W442" s="46">
        <v>0.15</v>
      </c>
      <c r="X442" s="46">
        <v>2.5000000000000001E-2</v>
      </c>
      <c r="Y442" s="46">
        <v>0.79500000000000004</v>
      </c>
      <c r="Z442" s="46">
        <v>0.09</v>
      </c>
      <c r="AA442" s="46">
        <v>0.03</v>
      </c>
      <c r="AB442" s="46">
        <v>0</v>
      </c>
      <c r="AC442" s="46">
        <v>0.1</v>
      </c>
      <c r="AD442" s="46">
        <v>2.4E-2</v>
      </c>
      <c r="AE442" s="46">
        <v>0.9</v>
      </c>
      <c r="AF442" s="59" t="s">
        <v>1576</v>
      </c>
      <c r="AG442" s="59"/>
      <c r="AH442" s="59" t="s">
        <v>1635</v>
      </c>
    </row>
    <row r="443" spans="22:34" x14ac:dyDescent="0.25">
      <c r="V443" s="59" t="s">
        <v>1599</v>
      </c>
      <c r="W443" s="46">
        <v>0.15</v>
      </c>
      <c r="X443" s="46">
        <v>2.5000000000000001E-2</v>
      </c>
      <c r="Y443" s="46">
        <v>0.79500000000000004</v>
      </c>
      <c r="Z443" s="46">
        <v>0.09</v>
      </c>
      <c r="AA443" s="46">
        <v>0.03</v>
      </c>
      <c r="AB443" s="46">
        <v>0</v>
      </c>
      <c r="AC443" s="46">
        <v>0.1</v>
      </c>
      <c r="AD443" s="46">
        <v>2.4E-2</v>
      </c>
      <c r="AE443" s="46">
        <v>0.9</v>
      </c>
      <c r="AF443" s="59" t="s">
        <v>1576</v>
      </c>
      <c r="AG443" s="59"/>
      <c r="AH443" s="59" t="s">
        <v>1635</v>
      </c>
    </row>
    <row r="444" spans="22:34" x14ac:dyDescent="0.25">
      <c r="V444" s="59" t="s">
        <v>1600</v>
      </c>
      <c r="W444" s="46">
        <v>0.15</v>
      </c>
      <c r="X444" s="46">
        <v>2.5000000000000001E-2</v>
      </c>
      <c r="Y444" s="46">
        <v>0.79500000000000004</v>
      </c>
      <c r="Z444" s="46">
        <v>0.09</v>
      </c>
      <c r="AA444" s="46">
        <v>0.03</v>
      </c>
      <c r="AB444" s="46">
        <v>0</v>
      </c>
      <c r="AC444" s="46">
        <v>0.1</v>
      </c>
      <c r="AD444" s="46">
        <v>2.4E-2</v>
      </c>
      <c r="AE444" s="46">
        <v>0.9</v>
      </c>
      <c r="AF444" s="59" t="s">
        <v>1576</v>
      </c>
      <c r="AG444" s="59"/>
      <c r="AH444" s="59" t="s">
        <v>1635</v>
      </c>
    </row>
    <row r="445" spans="22:34" x14ac:dyDescent="0.25">
      <c r="V445" s="59" t="s">
        <v>1601</v>
      </c>
      <c r="W445" s="46">
        <v>0.15</v>
      </c>
      <c r="X445" s="46">
        <v>2.5000000000000001E-2</v>
      </c>
      <c r="Y445" s="46">
        <v>0.69499999999999995</v>
      </c>
      <c r="Z445" s="46">
        <v>9.8000000000000004E-2</v>
      </c>
      <c r="AA445" s="46">
        <v>0.13</v>
      </c>
      <c r="AB445" s="46">
        <v>0</v>
      </c>
      <c r="AC445" s="46">
        <v>0.1</v>
      </c>
      <c r="AD445" s="46">
        <v>2.4E-2</v>
      </c>
      <c r="AE445" s="46">
        <v>0.9</v>
      </c>
      <c r="AF445" s="59" t="s">
        <v>1576</v>
      </c>
      <c r="AG445" s="59"/>
      <c r="AH445" s="59" t="s">
        <v>1635</v>
      </c>
    </row>
    <row r="446" spans="22:34" x14ac:dyDescent="0.25">
      <c r="V446" s="59" t="s">
        <v>1602</v>
      </c>
      <c r="W446" s="46">
        <v>0.15</v>
      </c>
      <c r="X446" s="46">
        <v>2.5000000000000001E-2</v>
      </c>
      <c r="Y446" s="46">
        <v>0.69499999999999995</v>
      </c>
      <c r="Z446" s="46">
        <v>9.8000000000000004E-2</v>
      </c>
      <c r="AA446" s="46">
        <v>0.13</v>
      </c>
      <c r="AB446" s="46">
        <v>0</v>
      </c>
      <c r="AC446" s="46">
        <v>0.1</v>
      </c>
      <c r="AD446" s="46">
        <v>2.4E-2</v>
      </c>
      <c r="AE446" s="46">
        <v>0.9</v>
      </c>
      <c r="AF446" s="59" t="s">
        <v>1576</v>
      </c>
      <c r="AG446" s="59"/>
      <c r="AH446" s="59" t="s">
        <v>1635</v>
      </c>
    </row>
    <row r="447" spans="22:34" x14ac:dyDescent="0.25">
      <c r="V447" s="59" t="s">
        <v>1603</v>
      </c>
      <c r="W447" s="46">
        <v>0.15</v>
      </c>
      <c r="X447" s="46">
        <v>2.5000000000000001E-2</v>
      </c>
      <c r="Y447" s="46">
        <v>0.69499999999999995</v>
      </c>
      <c r="Z447" s="46">
        <v>9.8000000000000004E-2</v>
      </c>
      <c r="AA447" s="46">
        <v>0.13</v>
      </c>
      <c r="AB447" s="46">
        <v>0</v>
      </c>
      <c r="AC447" s="46">
        <v>0.1</v>
      </c>
      <c r="AD447" s="46">
        <v>2.4E-2</v>
      </c>
      <c r="AE447" s="46">
        <v>0.9</v>
      </c>
      <c r="AF447" s="59" t="s">
        <v>1576</v>
      </c>
      <c r="AG447" s="59"/>
      <c r="AH447" s="59" t="s">
        <v>1635</v>
      </c>
    </row>
    <row r="448" spans="22:34" x14ac:dyDescent="0.25">
      <c r="V448" s="59" t="s">
        <v>1604</v>
      </c>
      <c r="W448" s="46">
        <v>0.15</v>
      </c>
      <c r="X448" s="46">
        <v>2.5000000000000001E-2</v>
      </c>
      <c r="Y448" s="46">
        <v>0.69499999999999995</v>
      </c>
      <c r="Z448" s="46">
        <v>9.8000000000000004E-2</v>
      </c>
      <c r="AA448" s="46">
        <v>0.13</v>
      </c>
      <c r="AB448" s="46">
        <v>0</v>
      </c>
      <c r="AC448" s="46">
        <v>0.1</v>
      </c>
      <c r="AD448" s="46">
        <v>2.4E-2</v>
      </c>
      <c r="AE448" s="46">
        <v>0.9</v>
      </c>
      <c r="AF448" s="59" t="s">
        <v>1576</v>
      </c>
      <c r="AG448" s="59"/>
      <c r="AH448" s="59" t="s">
        <v>1635</v>
      </c>
    </row>
    <row r="449" spans="22:34" x14ac:dyDescent="0.25">
      <c r="V449" s="59" t="s">
        <v>1605</v>
      </c>
      <c r="W449" s="46">
        <v>0.15</v>
      </c>
      <c r="X449" s="46">
        <v>2.5000000000000001E-2</v>
      </c>
      <c r="Y449" s="46">
        <v>0.79500000000000004</v>
      </c>
      <c r="Z449" s="46">
        <v>0.09</v>
      </c>
      <c r="AA449" s="46">
        <v>0.03</v>
      </c>
      <c r="AB449" s="46">
        <v>0</v>
      </c>
      <c r="AC449" s="46">
        <v>0.1</v>
      </c>
      <c r="AD449" s="46">
        <v>2.4E-2</v>
      </c>
      <c r="AE449" s="46">
        <v>0.9</v>
      </c>
      <c r="AF449" s="59" t="s">
        <v>1576</v>
      </c>
      <c r="AG449" s="59"/>
      <c r="AH449" s="59" t="s">
        <v>1635</v>
      </c>
    </row>
    <row r="450" spans="22:34" x14ac:dyDescent="0.25">
      <c r="V450" s="59" t="s">
        <v>1606</v>
      </c>
      <c r="W450" s="46">
        <v>0.15</v>
      </c>
      <c r="X450" s="46">
        <v>2.5000000000000001E-2</v>
      </c>
      <c r="Y450" s="46">
        <v>0.79500000000000004</v>
      </c>
      <c r="Z450" s="46">
        <v>0.09</v>
      </c>
      <c r="AA450" s="46">
        <v>0.03</v>
      </c>
      <c r="AB450" s="46">
        <v>0</v>
      </c>
      <c r="AC450" s="46">
        <v>0.1</v>
      </c>
      <c r="AD450" s="46">
        <v>2.4E-2</v>
      </c>
      <c r="AE450" s="46">
        <v>0.9</v>
      </c>
      <c r="AF450" s="59" t="s">
        <v>1576</v>
      </c>
      <c r="AG450" s="59"/>
      <c r="AH450" s="59" t="s">
        <v>1635</v>
      </c>
    </row>
    <row r="451" spans="22:34" x14ac:dyDescent="0.25">
      <c r="V451" s="59" t="s">
        <v>1607</v>
      </c>
      <c r="W451" s="46">
        <v>0.15</v>
      </c>
      <c r="X451" s="46">
        <v>2.5000000000000001E-2</v>
      </c>
      <c r="Y451" s="46">
        <v>0.79500000000000004</v>
      </c>
      <c r="Z451" s="46">
        <v>0.09</v>
      </c>
      <c r="AA451" s="46">
        <v>0.03</v>
      </c>
      <c r="AB451" s="46">
        <v>0</v>
      </c>
      <c r="AC451" s="46">
        <v>0.1</v>
      </c>
      <c r="AD451" s="46">
        <v>2.4E-2</v>
      </c>
      <c r="AE451" s="46">
        <v>0.9</v>
      </c>
      <c r="AF451" s="59" t="s">
        <v>1576</v>
      </c>
      <c r="AG451" s="59"/>
      <c r="AH451" s="59" t="s">
        <v>1635</v>
      </c>
    </row>
    <row r="452" spans="22:34" x14ac:dyDescent="0.25">
      <c r="V452" s="59" t="s">
        <v>1608</v>
      </c>
      <c r="W452" s="46">
        <v>0.15</v>
      </c>
      <c r="X452" s="46">
        <v>2.5000000000000001E-2</v>
      </c>
      <c r="Y452" s="46">
        <v>0.79500000000000004</v>
      </c>
      <c r="Z452" s="46">
        <v>0.09</v>
      </c>
      <c r="AA452" s="46">
        <v>0.03</v>
      </c>
      <c r="AB452" s="46">
        <v>0</v>
      </c>
      <c r="AC452" s="46">
        <v>0.1</v>
      </c>
      <c r="AD452" s="46">
        <v>2.4E-2</v>
      </c>
      <c r="AE452" s="46">
        <v>0.9</v>
      </c>
      <c r="AF452" s="59" t="s">
        <v>1576</v>
      </c>
      <c r="AG452" s="59"/>
      <c r="AH452" s="59" t="s">
        <v>1635</v>
      </c>
    </row>
    <row r="453" spans="22:34" x14ac:dyDescent="0.25">
      <c r="V453" s="59" t="s">
        <v>951</v>
      </c>
      <c r="W453" s="46">
        <v>0</v>
      </c>
      <c r="X453" s="46">
        <v>0</v>
      </c>
      <c r="Y453" s="46">
        <v>0.96</v>
      </c>
      <c r="Z453" s="46">
        <v>0</v>
      </c>
      <c r="AA453" s="46">
        <v>0.04</v>
      </c>
      <c r="AB453" s="46">
        <v>0.03</v>
      </c>
      <c r="AC453" s="46">
        <v>0.02</v>
      </c>
      <c r="AD453" s="46">
        <v>0</v>
      </c>
      <c r="AE453" s="46">
        <v>0.98</v>
      </c>
      <c r="AF453" s="59" t="s">
        <v>1576</v>
      </c>
      <c r="AG453" s="59"/>
      <c r="AH453" s="59" t="s">
        <v>1635</v>
      </c>
    </row>
    <row r="454" spans="22:34" x14ac:dyDescent="0.25">
      <c r="V454" s="59" t="s">
        <v>950</v>
      </c>
      <c r="W454" s="46">
        <v>0</v>
      </c>
      <c r="X454" s="46">
        <v>0</v>
      </c>
      <c r="Y454" s="46">
        <v>0.96</v>
      </c>
      <c r="Z454" s="46">
        <v>0</v>
      </c>
      <c r="AA454" s="46">
        <v>0.04</v>
      </c>
      <c r="AB454" s="46">
        <v>0.03</v>
      </c>
      <c r="AC454" s="46">
        <v>0.02</v>
      </c>
      <c r="AD454" s="46">
        <v>0</v>
      </c>
      <c r="AE454" s="46">
        <v>0.98</v>
      </c>
      <c r="AF454" s="59" t="s">
        <v>1576</v>
      </c>
      <c r="AG454" s="59"/>
      <c r="AH454" s="59" t="s">
        <v>1635</v>
      </c>
    </row>
    <row r="455" spans="22:34" x14ac:dyDescent="0.25">
      <c r="V455" s="59" t="s">
        <v>799</v>
      </c>
      <c r="W455" s="46">
        <v>0.111</v>
      </c>
      <c r="X455" s="46">
        <v>1.7000000000000001E-2</v>
      </c>
      <c r="Y455" s="46">
        <v>0.85600000000000009</v>
      </c>
      <c r="Z455" s="46">
        <v>2.5000000000000001E-2</v>
      </c>
      <c r="AA455" s="46">
        <v>1.6E-2</v>
      </c>
      <c r="AB455" s="46">
        <v>3.0000000000000001E-3</v>
      </c>
      <c r="AC455" s="46">
        <v>0.11700000000000003</v>
      </c>
      <c r="AD455" s="46">
        <v>1.7760000000000001E-2</v>
      </c>
      <c r="AE455" s="46">
        <v>0.88300000000000001</v>
      </c>
      <c r="AF455" s="59" t="s">
        <v>1576</v>
      </c>
      <c r="AG455" s="59"/>
      <c r="AH455" s="59" t="s">
        <v>1635</v>
      </c>
    </row>
    <row r="456" spans="22:34" x14ac:dyDescent="0.25">
      <c r="V456" s="59" t="s">
        <v>800</v>
      </c>
      <c r="W456" s="46">
        <v>0.20300000000000001</v>
      </c>
      <c r="X456" s="46">
        <v>6.4000000000000001E-2</v>
      </c>
      <c r="Y456" s="46">
        <v>0.69299999999999995</v>
      </c>
      <c r="Z456" s="46">
        <v>0.33</v>
      </c>
      <c r="AA456" s="46">
        <v>0.04</v>
      </c>
      <c r="AB456" s="46">
        <v>6.0000000000000001E-3</v>
      </c>
      <c r="AC456" s="46">
        <v>8.9000000000000051E-2</v>
      </c>
      <c r="AD456" s="46">
        <v>3.2480000000000002E-2</v>
      </c>
      <c r="AE456" s="46">
        <v>0.91099999999999992</v>
      </c>
      <c r="AF456" s="59" t="s">
        <v>1576</v>
      </c>
      <c r="AG456" s="59"/>
      <c r="AH456" s="59" t="s">
        <v>1635</v>
      </c>
    </row>
    <row r="457" spans="22:34" x14ac:dyDescent="0.25">
      <c r="V457" s="59" t="s">
        <v>801</v>
      </c>
      <c r="W457" s="46">
        <v>0.43099999999999999</v>
      </c>
      <c r="X457" s="46">
        <v>6.6000000000000003E-2</v>
      </c>
      <c r="Y457" s="46">
        <v>0.43</v>
      </c>
      <c r="Z457" s="46">
        <v>0.12</v>
      </c>
      <c r="AA457" s="46">
        <v>7.2999999999999995E-2</v>
      </c>
      <c r="AB457" s="46">
        <v>1.1000000000000001E-2</v>
      </c>
      <c r="AC457" s="46">
        <v>8.9000000000000051E-2</v>
      </c>
      <c r="AD457" s="46">
        <v>6.8959999999999994E-2</v>
      </c>
      <c r="AE457" s="46">
        <v>0.91099999999999992</v>
      </c>
      <c r="AF457" s="59" t="s">
        <v>1576</v>
      </c>
      <c r="AG457" s="59"/>
      <c r="AH457" s="59" t="s">
        <v>1635</v>
      </c>
    </row>
    <row r="458" spans="22:34" x14ac:dyDescent="0.25">
      <c r="V458" s="59" t="s">
        <v>803</v>
      </c>
      <c r="W458" s="46">
        <v>0.42399999999999999</v>
      </c>
      <c r="X458" s="46">
        <v>1.3999999999999999E-2</v>
      </c>
      <c r="Y458" s="46">
        <v>0.48700000000000004</v>
      </c>
      <c r="Z458" s="46">
        <v>0.14099999999999999</v>
      </c>
      <c r="AA458" s="46">
        <v>7.4999999999999997E-2</v>
      </c>
      <c r="AB458" s="46">
        <v>5.0000000000000001E-3</v>
      </c>
      <c r="AC458" s="46">
        <v>8.9000000000000051E-2</v>
      </c>
      <c r="AD458" s="46">
        <v>6.7839999999999998E-2</v>
      </c>
      <c r="AE458" s="46">
        <v>0.91099999999999992</v>
      </c>
      <c r="AF458" s="59" t="s">
        <v>1576</v>
      </c>
      <c r="AG458" s="59"/>
      <c r="AH458" s="59" t="s">
        <v>1635</v>
      </c>
    </row>
    <row r="459" spans="22:34" x14ac:dyDescent="0.25">
      <c r="V459" s="59" t="s">
        <v>802</v>
      </c>
      <c r="W459" s="46">
        <v>0.223</v>
      </c>
      <c r="X459" s="46">
        <v>1.1000000000000001E-2</v>
      </c>
      <c r="Y459" s="46">
        <v>0.71600000000000008</v>
      </c>
      <c r="Z459" s="46">
        <v>0.34200000000000003</v>
      </c>
      <c r="AA459" s="46">
        <v>0.05</v>
      </c>
      <c r="AB459" s="46">
        <v>7.4999999999999997E-3</v>
      </c>
      <c r="AC459" s="46">
        <v>0.09</v>
      </c>
      <c r="AD459" s="46">
        <v>3.5680000000000003E-2</v>
      </c>
      <c r="AE459" s="46">
        <v>0.91</v>
      </c>
      <c r="AF459" s="59" t="s">
        <v>1576</v>
      </c>
      <c r="AG459" s="59"/>
      <c r="AH459" s="59" t="s">
        <v>1635</v>
      </c>
    </row>
    <row r="460" spans="22:34" x14ac:dyDescent="0.25">
      <c r="V460" s="59" t="s">
        <v>939</v>
      </c>
      <c r="W460" s="46">
        <v>0</v>
      </c>
      <c r="X460" s="46">
        <v>0.99</v>
      </c>
      <c r="Y460" s="46">
        <v>0.01</v>
      </c>
      <c r="Z460" s="46">
        <v>0</v>
      </c>
      <c r="AA460" s="46">
        <v>0</v>
      </c>
      <c r="AB460" s="46">
        <v>0</v>
      </c>
      <c r="AC460" s="46">
        <v>0.01</v>
      </c>
      <c r="AD460" s="46">
        <v>0</v>
      </c>
      <c r="AE460" s="46">
        <v>0.99</v>
      </c>
      <c r="AF460" s="59" t="s">
        <v>1576</v>
      </c>
      <c r="AG460" s="59"/>
      <c r="AH460" s="59" t="s">
        <v>1635</v>
      </c>
    </row>
    <row r="461" spans="22:34" x14ac:dyDescent="0.25">
      <c r="V461" s="59" t="s">
        <v>989</v>
      </c>
      <c r="W461" s="46">
        <v>0</v>
      </c>
      <c r="X461" s="46">
        <v>0</v>
      </c>
      <c r="Y461" s="46">
        <v>0.05</v>
      </c>
      <c r="Z461" s="46">
        <v>0</v>
      </c>
      <c r="AA461" s="46">
        <v>0.95</v>
      </c>
      <c r="AB461" s="46">
        <v>0</v>
      </c>
      <c r="AC461" s="46">
        <v>0.05</v>
      </c>
      <c r="AD461" s="46">
        <v>0</v>
      </c>
      <c r="AE461" s="46">
        <v>0.95</v>
      </c>
      <c r="AF461" s="59" t="s">
        <v>1576</v>
      </c>
      <c r="AG461" s="59"/>
      <c r="AH461" s="59" t="s">
        <v>1635</v>
      </c>
    </row>
    <row r="462" spans="22:34" x14ac:dyDescent="0.25">
      <c r="V462" s="59" t="s">
        <v>804</v>
      </c>
      <c r="W462" s="46">
        <v>0.109</v>
      </c>
      <c r="X462" s="46">
        <v>0.05</v>
      </c>
      <c r="Y462" s="46">
        <v>0.59599999999999997</v>
      </c>
      <c r="Z462" s="46">
        <v>7.2000000000000008E-2</v>
      </c>
      <c r="AA462" s="46">
        <v>0.245</v>
      </c>
      <c r="AB462" s="46">
        <v>2.8999999999999998E-3</v>
      </c>
      <c r="AC462" s="46">
        <v>6.9000000000000061E-2</v>
      </c>
      <c r="AD462" s="46">
        <v>1.7440000000000001E-2</v>
      </c>
      <c r="AE462" s="46">
        <v>0.93099999999999994</v>
      </c>
      <c r="AF462" s="59" t="s">
        <v>1576</v>
      </c>
      <c r="AG462" s="59"/>
      <c r="AH462" s="59" t="s">
        <v>1635</v>
      </c>
    </row>
    <row r="463" spans="22:34" x14ac:dyDescent="0.25">
      <c r="V463" s="59" t="s">
        <v>805</v>
      </c>
      <c r="W463" s="46">
        <v>0.13500000000000001</v>
      </c>
      <c r="X463" s="46">
        <v>7.0000000000000007E-2</v>
      </c>
      <c r="Y463" s="46">
        <v>0.47600000000000003</v>
      </c>
      <c r="Z463" s="46">
        <v>7.0000000000000007E-2</v>
      </c>
      <c r="AA463" s="46">
        <v>0.31900000000000001</v>
      </c>
      <c r="AB463" s="46">
        <v>2.8999999999999998E-3</v>
      </c>
      <c r="AC463" s="46">
        <v>0.04</v>
      </c>
      <c r="AD463" s="46">
        <v>2.1600000000000001E-2</v>
      </c>
      <c r="AE463" s="46">
        <v>0.96</v>
      </c>
      <c r="AF463" s="59" t="s">
        <v>1576</v>
      </c>
      <c r="AG463" s="59"/>
      <c r="AH463" s="59" t="s">
        <v>1635</v>
      </c>
    </row>
    <row r="464" spans="22:34" x14ac:dyDescent="0.25">
      <c r="V464" s="59" t="s">
        <v>1609</v>
      </c>
      <c r="W464" s="46">
        <v>0.42100000000000004</v>
      </c>
      <c r="X464" s="46">
        <v>0.182</v>
      </c>
      <c r="Y464" s="46">
        <v>0.14400000000000002</v>
      </c>
      <c r="Z464" s="46">
        <v>1.2E-2</v>
      </c>
      <c r="AA464" s="46">
        <v>0.253</v>
      </c>
      <c r="AB464" s="46">
        <v>2.8999999999999998E-3</v>
      </c>
      <c r="AC464" s="46">
        <v>9.2000000000000026E-2</v>
      </c>
      <c r="AD464" s="46">
        <v>6.7360000000000003E-2</v>
      </c>
      <c r="AE464" s="46">
        <v>0.90799999999999992</v>
      </c>
      <c r="AF464" s="59" t="s">
        <v>1576</v>
      </c>
      <c r="AG464" s="59"/>
      <c r="AH464" s="59" t="s">
        <v>1635</v>
      </c>
    </row>
    <row r="465" spans="22:34" x14ac:dyDescent="0.25">
      <c r="V465" s="59" t="s">
        <v>806</v>
      </c>
      <c r="W465" s="46">
        <v>0.115</v>
      </c>
      <c r="X465" s="46">
        <v>6.0999999999999999E-2</v>
      </c>
      <c r="Y465" s="46">
        <v>0.58100000000000007</v>
      </c>
      <c r="Z465" s="46">
        <v>7.0000000000000007E-2</v>
      </c>
      <c r="AA465" s="46">
        <v>0.24299999999999999</v>
      </c>
      <c r="AB465" s="46">
        <v>2.8999999999999998E-3</v>
      </c>
      <c r="AC465" s="46">
        <v>0.10400000000000005</v>
      </c>
      <c r="AD465" s="46">
        <v>1.84E-2</v>
      </c>
      <c r="AE465" s="46">
        <v>0.89599999999999991</v>
      </c>
      <c r="AF465" s="59" t="s">
        <v>1576</v>
      </c>
      <c r="AG465" s="59"/>
      <c r="AH465" s="59" t="s">
        <v>1635</v>
      </c>
    </row>
    <row r="466" spans="22:34" x14ac:dyDescent="0.25">
      <c r="V466" s="59" t="s">
        <v>808</v>
      </c>
      <c r="W466" s="46">
        <v>0.09</v>
      </c>
      <c r="X466" s="46">
        <v>8.0000000000000002E-3</v>
      </c>
      <c r="Y466" s="46">
        <v>0.629</v>
      </c>
      <c r="Z466" s="46">
        <v>4.4999999999999998E-2</v>
      </c>
      <c r="AA466" s="46">
        <v>0.27300000000000002</v>
      </c>
      <c r="AB466" s="46">
        <v>2.8999999999999998E-3</v>
      </c>
      <c r="AC466" s="46">
        <v>0.11</v>
      </c>
      <c r="AD466" s="46">
        <v>1.44E-2</v>
      </c>
      <c r="AE466" s="46">
        <v>0.89</v>
      </c>
      <c r="AF466" s="59" t="s">
        <v>1576</v>
      </c>
      <c r="AG466" s="59"/>
      <c r="AH466" s="59" t="s">
        <v>1635</v>
      </c>
    </row>
    <row r="467" spans="22:34" x14ac:dyDescent="0.25">
      <c r="V467" s="59" t="s">
        <v>807</v>
      </c>
      <c r="W467" s="46">
        <v>0.17399999999999999</v>
      </c>
      <c r="X467" s="46">
        <v>1.1000000000000001E-2</v>
      </c>
      <c r="Y467" s="46">
        <v>0.55200000000000005</v>
      </c>
      <c r="Z467" s="46">
        <v>6.7000000000000004E-2</v>
      </c>
      <c r="AA467" s="46">
        <v>0.26300000000000001</v>
      </c>
      <c r="AB467" s="46">
        <v>2.8999999999999998E-3</v>
      </c>
      <c r="AC467" s="46">
        <v>0.11</v>
      </c>
      <c r="AD467" s="46">
        <v>2.7839999999999997E-2</v>
      </c>
      <c r="AE467" s="46">
        <v>0.89</v>
      </c>
      <c r="AF467" s="59" t="s">
        <v>1576</v>
      </c>
      <c r="AG467" s="59"/>
      <c r="AH467" s="59" t="s">
        <v>1635</v>
      </c>
    </row>
    <row r="468" spans="22:34" x14ac:dyDescent="0.25">
      <c r="V468" s="59" t="s">
        <v>1007</v>
      </c>
      <c r="W468" s="46">
        <v>0.45</v>
      </c>
      <c r="X468" s="46">
        <v>7.0000000000000007E-2</v>
      </c>
      <c r="Y468" s="46">
        <v>0.4</v>
      </c>
      <c r="Z468" s="46">
        <v>0.03</v>
      </c>
      <c r="AA468" s="46">
        <v>0.08</v>
      </c>
      <c r="AB468" s="46">
        <v>0</v>
      </c>
      <c r="AC468" s="46">
        <v>0.08</v>
      </c>
      <c r="AD468" s="46">
        <v>7.2000000000000008E-2</v>
      </c>
      <c r="AE468" s="46">
        <v>0.92</v>
      </c>
      <c r="AF468" s="59" t="s">
        <v>1576</v>
      </c>
      <c r="AG468" s="59"/>
      <c r="AH468" s="59" t="s">
        <v>1635</v>
      </c>
    </row>
    <row r="469" spans="22:34" x14ac:dyDescent="0.25">
      <c r="V469" s="59" t="s">
        <v>810</v>
      </c>
      <c r="W469" s="46">
        <v>0.48499999999999999</v>
      </c>
      <c r="X469" s="46">
        <v>2.6000000000000002E-2</v>
      </c>
      <c r="Y469" s="46">
        <v>0.36299999999999999</v>
      </c>
      <c r="Z469" s="46">
        <v>0.10099999999999999</v>
      </c>
      <c r="AA469" s="46">
        <v>0.126</v>
      </c>
      <c r="AB469" s="46">
        <v>4.5999999999999999E-3</v>
      </c>
      <c r="AC469" s="46">
        <v>6.2999999999999973E-2</v>
      </c>
      <c r="AD469" s="46">
        <v>7.7600000000000002E-2</v>
      </c>
      <c r="AE469" s="46">
        <v>0.93700000000000006</v>
      </c>
      <c r="AF469" s="59" t="s">
        <v>1576</v>
      </c>
      <c r="AG469" s="59"/>
      <c r="AH469" s="59" t="s">
        <v>1635</v>
      </c>
    </row>
    <row r="470" spans="22:34" x14ac:dyDescent="0.25">
      <c r="V470" s="59" t="s">
        <v>809</v>
      </c>
      <c r="W470" s="46">
        <v>0.42200000000000004</v>
      </c>
      <c r="X470" s="46">
        <v>8.8000000000000009E-2</v>
      </c>
      <c r="Y470" s="46">
        <v>0.373</v>
      </c>
      <c r="Z470" s="46">
        <v>6.8000000000000005E-2</v>
      </c>
      <c r="AA470" s="46">
        <v>0.11699999999999999</v>
      </c>
      <c r="AB470" s="46">
        <v>4.5999999999999999E-3</v>
      </c>
      <c r="AC470" s="46">
        <v>7.4000000000000052E-2</v>
      </c>
      <c r="AD470" s="46">
        <v>6.7520000000000011E-2</v>
      </c>
      <c r="AE470" s="46">
        <v>0.92599999999999993</v>
      </c>
      <c r="AF470" s="59" t="s">
        <v>1576</v>
      </c>
      <c r="AG470" s="59"/>
      <c r="AH470" s="59" t="s">
        <v>1635</v>
      </c>
    </row>
    <row r="471" spans="22:34" x14ac:dyDescent="0.25">
      <c r="V471" s="59" t="s">
        <v>940</v>
      </c>
      <c r="W471" s="46">
        <v>0</v>
      </c>
      <c r="X471" s="46">
        <v>0.99</v>
      </c>
      <c r="Y471" s="46">
        <v>0.01</v>
      </c>
      <c r="Z471" s="46">
        <v>0</v>
      </c>
      <c r="AA471" s="46">
        <v>0</v>
      </c>
      <c r="AB471" s="46">
        <v>0</v>
      </c>
      <c r="AC471" s="46">
        <v>0.01</v>
      </c>
      <c r="AD471" s="46">
        <v>0</v>
      </c>
      <c r="AE471" s="46">
        <v>0.99</v>
      </c>
      <c r="AF471" s="59" t="s">
        <v>1576</v>
      </c>
      <c r="AG471" s="59"/>
      <c r="AH471" s="59" t="s">
        <v>1635</v>
      </c>
    </row>
    <row r="472" spans="22:34" x14ac:dyDescent="0.25">
      <c r="V472" s="59" t="s">
        <v>638</v>
      </c>
      <c r="W472" s="46">
        <v>0.41</v>
      </c>
      <c r="X472" s="46">
        <v>5.5999999999999994E-2</v>
      </c>
      <c r="Y472" s="46">
        <v>0.20399999999999999</v>
      </c>
      <c r="Z472" s="46">
        <v>0</v>
      </c>
      <c r="AA472" s="46">
        <v>0.33</v>
      </c>
      <c r="AB472" s="46">
        <v>0.02</v>
      </c>
      <c r="AC472" s="46">
        <v>4.7999999999999973E-2</v>
      </c>
      <c r="AD472" s="46">
        <v>6.5599999999999992E-2</v>
      </c>
      <c r="AE472" s="46">
        <v>0.95200000000000007</v>
      </c>
      <c r="AF472" s="59" t="s">
        <v>1576</v>
      </c>
      <c r="AG472" s="59"/>
      <c r="AH472" s="59" t="s">
        <v>1635</v>
      </c>
    </row>
    <row r="473" spans="22:34" x14ac:dyDescent="0.25">
      <c r="V473" s="59" t="s">
        <v>1755</v>
      </c>
      <c r="W473" s="46">
        <v>0.39500000000000002</v>
      </c>
      <c r="X473" s="46">
        <v>3.2000000000000001E-2</v>
      </c>
      <c r="Y473" s="46">
        <v>0.30099999999999993</v>
      </c>
      <c r="Z473" s="46">
        <v>0.18099999999999994</v>
      </c>
      <c r="AA473" s="46">
        <v>0.27200000000000002</v>
      </c>
      <c r="AB473" s="46">
        <v>0</v>
      </c>
      <c r="AC473" s="46">
        <v>0.12</v>
      </c>
      <c r="AD473" s="46">
        <v>6.3200000000000006E-2</v>
      </c>
      <c r="AE473" s="46">
        <v>0.88</v>
      </c>
      <c r="AF473" s="59" t="s">
        <v>526</v>
      </c>
      <c r="AG473" s="59"/>
      <c r="AH473" s="59" t="s">
        <v>1635</v>
      </c>
    </row>
    <row r="474" spans="22:34" x14ac:dyDescent="0.25">
      <c r="V474" s="59" t="s">
        <v>637</v>
      </c>
      <c r="W474" s="46">
        <v>0.38400000000000001</v>
      </c>
      <c r="X474" s="46">
        <v>2.3E-2</v>
      </c>
      <c r="Y474" s="46">
        <v>0.25500000000000006</v>
      </c>
      <c r="Z474" s="46">
        <v>9.4E-2</v>
      </c>
      <c r="AA474" s="46">
        <v>0.33799999999999997</v>
      </c>
      <c r="AB474" s="46">
        <v>1.6E-2</v>
      </c>
      <c r="AC474" s="46">
        <v>0.10099999999999994</v>
      </c>
      <c r="AD474" s="46">
        <v>6.1440000000000002E-2</v>
      </c>
      <c r="AE474" s="46">
        <v>0.89900000000000002</v>
      </c>
      <c r="AF474" s="59" t="s">
        <v>1576</v>
      </c>
      <c r="AG474" s="59"/>
      <c r="AH474" s="59" t="s">
        <v>1635</v>
      </c>
    </row>
    <row r="475" spans="22:34" x14ac:dyDescent="0.25">
      <c r="V475" s="59" t="s">
        <v>639</v>
      </c>
      <c r="W475" s="46">
        <v>0.627</v>
      </c>
      <c r="X475" s="46">
        <v>4.7E-2</v>
      </c>
      <c r="Y475" s="46">
        <v>0.19399999999999995</v>
      </c>
      <c r="Z475" s="46">
        <v>2.6000000000000002E-2</v>
      </c>
      <c r="AA475" s="46">
        <v>0.13200000000000001</v>
      </c>
      <c r="AB475" s="46">
        <v>7.1999999999999998E-3</v>
      </c>
      <c r="AC475" s="46">
        <v>9.5000000000000001E-2</v>
      </c>
      <c r="AD475" s="46">
        <v>0.10032000000000001</v>
      </c>
      <c r="AE475" s="46">
        <v>0.90500000000000003</v>
      </c>
      <c r="AF475" s="59" t="s">
        <v>1576</v>
      </c>
      <c r="AG475" s="59"/>
      <c r="AH475" s="59" t="s">
        <v>1635</v>
      </c>
    </row>
    <row r="476" spans="22:34" x14ac:dyDescent="0.25">
      <c r="V476" s="59" t="s">
        <v>1610</v>
      </c>
      <c r="W476" s="46">
        <v>0.75599999999999989</v>
      </c>
      <c r="X476" s="46">
        <v>6.6000000000000003E-2</v>
      </c>
      <c r="Y476" s="46">
        <v>0.11000000000000004</v>
      </c>
      <c r="Z476" s="46">
        <v>4.7E-2</v>
      </c>
      <c r="AA476" s="46">
        <v>6.8000000000000005E-2</v>
      </c>
      <c r="AB476" s="46">
        <v>1.2500000000000001E-2</v>
      </c>
      <c r="AC476" s="46">
        <v>6.2000000000000027E-2</v>
      </c>
      <c r="AD476" s="46">
        <v>0.12095999999999998</v>
      </c>
      <c r="AE476" s="46">
        <v>0.93799999999999994</v>
      </c>
      <c r="AF476" s="59" t="s">
        <v>1576</v>
      </c>
      <c r="AG476" s="59"/>
      <c r="AH476" s="59" t="s">
        <v>1635</v>
      </c>
    </row>
    <row r="477" spans="22:34" x14ac:dyDescent="0.25">
      <c r="V477" s="59" t="s">
        <v>811</v>
      </c>
      <c r="W477" s="46">
        <v>0.24</v>
      </c>
      <c r="X477" s="46">
        <v>3.2000000000000001E-2</v>
      </c>
      <c r="Y477" s="46">
        <v>0.64800000000000002</v>
      </c>
      <c r="Z477" s="46">
        <v>0.09</v>
      </c>
      <c r="AA477" s="46">
        <v>0.08</v>
      </c>
      <c r="AB477" s="46">
        <v>3.4999999999999996E-3</v>
      </c>
      <c r="AC477" s="46">
        <v>0.12</v>
      </c>
      <c r="AD477" s="46">
        <v>3.8399999999999997E-2</v>
      </c>
      <c r="AE477" s="46">
        <v>0.88</v>
      </c>
      <c r="AF477" s="59" t="s">
        <v>1576</v>
      </c>
      <c r="AG477" s="59"/>
      <c r="AH477" s="59" t="s">
        <v>1635</v>
      </c>
    </row>
    <row r="478" spans="22:34" x14ac:dyDescent="0.25">
      <c r="V478" s="59" t="s">
        <v>812</v>
      </c>
      <c r="W478" s="46">
        <v>0.42</v>
      </c>
      <c r="X478" s="46">
        <v>4.2999999999999997E-2</v>
      </c>
      <c r="Y478" s="46">
        <v>0.51900000000000002</v>
      </c>
      <c r="Z478" s="46">
        <v>3.5000000000000003E-2</v>
      </c>
      <c r="AA478" s="46">
        <v>1.8000000000000002E-2</v>
      </c>
      <c r="AB478" s="46">
        <v>1.7000000000000001E-3</v>
      </c>
      <c r="AC478" s="46">
        <v>0.1</v>
      </c>
      <c r="AD478" s="46">
        <v>6.7199999999999996E-2</v>
      </c>
      <c r="AE478" s="46">
        <v>0.9</v>
      </c>
      <c r="AF478" s="59" t="s">
        <v>1576</v>
      </c>
      <c r="AG478" s="59"/>
      <c r="AH478" s="59" t="s">
        <v>1635</v>
      </c>
    </row>
    <row r="479" spans="22:34" x14ac:dyDescent="0.25">
      <c r="V479" s="59" t="s">
        <v>813</v>
      </c>
      <c r="W479" s="46">
        <v>0.10099999999999999</v>
      </c>
      <c r="X479" s="46">
        <v>2.8999999999999998E-2</v>
      </c>
      <c r="Y479" s="46">
        <v>0.85199999999999998</v>
      </c>
      <c r="Z479" s="46">
        <v>2.1000000000000001E-2</v>
      </c>
      <c r="AA479" s="46">
        <v>1.8000000000000002E-2</v>
      </c>
      <c r="AB479" s="46">
        <v>4.3E-3</v>
      </c>
      <c r="AC479" s="46">
        <v>0.11900000000000005</v>
      </c>
      <c r="AD479" s="46">
        <v>1.6159999999999997E-2</v>
      </c>
      <c r="AE479" s="46">
        <v>0.88099999999999989</v>
      </c>
      <c r="AF479" s="59" t="s">
        <v>1576</v>
      </c>
      <c r="AG479" s="59"/>
      <c r="AH479" s="59" t="s">
        <v>1635</v>
      </c>
    </row>
    <row r="480" spans="22:34" x14ac:dyDescent="0.25">
      <c r="V480" s="59" t="s">
        <v>815</v>
      </c>
      <c r="W480" s="46">
        <v>0.10099999999999999</v>
      </c>
      <c r="X480" s="46">
        <v>2.7999999999999997E-2</v>
      </c>
      <c r="Y480" s="46">
        <v>0.85300000000000009</v>
      </c>
      <c r="Z480" s="46">
        <v>2.1000000000000001E-2</v>
      </c>
      <c r="AA480" s="46">
        <v>1.8000000000000002E-2</v>
      </c>
      <c r="AB480" s="46">
        <v>3.4000000000000002E-3</v>
      </c>
      <c r="AC480" s="46">
        <v>0.11</v>
      </c>
      <c r="AD480" s="46">
        <v>1.6159999999999997E-2</v>
      </c>
      <c r="AE480" s="46">
        <v>0.89</v>
      </c>
      <c r="AF480" s="59" t="s">
        <v>1576</v>
      </c>
      <c r="AG480" s="59"/>
      <c r="AH480" s="59" t="s">
        <v>1635</v>
      </c>
    </row>
    <row r="481" spans="22:34" x14ac:dyDescent="0.25">
      <c r="V481" s="59" t="s">
        <v>814</v>
      </c>
      <c r="W481" s="46">
        <v>0.09</v>
      </c>
      <c r="X481" s="46">
        <v>0.03</v>
      </c>
      <c r="Y481" s="46">
        <v>0.86599999999999999</v>
      </c>
      <c r="Z481" s="46">
        <v>2.3E-2</v>
      </c>
      <c r="AA481" s="46">
        <v>1.3999999999999999E-2</v>
      </c>
      <c r="AB481" s="46">
        <v>2.8000000000000004E-3</v>
      </c>
      <c r="AC481" s="46">
        <v>0.12099999999999994</v>
      </c>
      <c r="AD481" s="46">
        <v>1.44E-2</v>
      </c>
      <c r="AE481" s="46">
        <v>0.879</v>
      </c>
      <c r="AF481" s="59" t="s">
        <v>1576</v>
      </c>
      <c r="AG481" s="59"/>
      <c r="AH481" s="59" t="s">
        <v>1635</v>
      </c>
    </row>
    <row r="482" spans="22:34" x14ac:dyDescent="0.25">
      <c r="V482" s="59" t="s">
        <v>816</v>
      </c>
      <c r="W482" s="46">
        <v>0.11</v>
      </c>
      <c r="X482" s="46">
        <v>6.4000000000000001E-2</v>
      </c>
      <c r="Y482" s="46">
        <v>0.8</v>
      </c>
      <c r="Z482" s="46">
        <v>6.9000000000000006E-2</v>
      </c>
      <c r="AA482" s="46">
        <v>2.6000000000000002E-2</v>
      </c>
      <c r="AB482" s="46">
        <v>4.8999999999999998E-3</v>
      </c>
      <c r="AC482" s="46">
        <v>0.11</v>
      </c>
      <c r="AD482" s="46">
        <v>1.7600000000000001E-2</v>
      </c>
      <c r="AE482" s="46">
        <v>0.89</v>
      </c>
      <c r="AF482" s="59" t="s">
        <v>1576</v>
      </c>
      <c r="AG482" s="59"/>
      <c r="AH482" s="59" t="s">
        <v>1635</v>
      </c>
    </row>
    <row r="483" spans="22:34" x14ac:dyDescent="0.25">
      <c r="V483" s="59" t="s">
        <v>943</v>
      </c>
      <c r="W483" s="46">
        <v>0</v>
      </c>
      <c r="X483" s="46">
        <v>0.91</v>
      </c>
      <c r="Y483" s="46">
        <v>0.06</v>
      </c>
      <c r="Z483" s="46">
        <v>0</v>
      </c>
      <c r="AA483" s="46">
        <v>0.03</v>
      </c>
      <c r="AB483" s="46">
        <v>1.6E-2</v>
      </c>
      <c r="AC483" s="46">
        <v>0.01</v>
      </c>
      <c r="AD483" s="46">
        <v>0</v>
      </c>
      <c r="AE483" s="46">
        <v>0.99</v>
      </c>
      <c r="AF483" s="59" t="s">
        <v>1576</v>
      </c>
      <c r="AG483" s="59"/>
      <c r="AH483" s="59" t="s">
        <v>1635</v>
      </c>
    </row>
    <row r="484" spans="22:34" x14ac:dyDescent="0.25">
      <c r="V484" s="59" t="s">
        <v>818</v>
      </c>
      <c r="W484" s="46">
        <v>0.55500000000000005</v>
      </c>
      <c r="X484" s="46">
        <v>1.2E-2</v>
      </c>
      <c r="Y484" s="46">
        <v>0.37599999999999995</v>
      </c>
      <c r="Z484" s="46">
        <v>3.7999999999999999E-2</v>
      </c>
      <c r="AA484" s="46">
        <v>5.7000000000000002E-2</v>
      </c>
      <c r="AB484" s="46">
        <v>8.0000000000000002E-3</v>
      </c>
      <c r="AC484" s="46">
        <v>8.7000000000000022E-2</v>
      </c>
      <c r="AD484" s="46">
        <v>8.8800000000000004E-2</v>
      </c>
      <c r="AE484" s="46">
        <v>0.91299999999999992</v>
      </c>
      <c r="AF484" s="59" t="s">
        <v>1576</v>
      </c>
      <c r="AG484" s="59"/>
      <c r="AH484" s="59" t="s">
        <v>1635</v>
      </c>
    </row>
    <row r="485" spans="22:34" x14ac:dyDescent="0.25">
      <c r="V485" s="59" t="s">
        <v>820</v>
      </c>
      <c r="W485" s="46">
        <v>0.61899999999999999</v>
      </c>
      <c r="X485" s="46">
        <v>1.6E-2</v>
      </c>
      <c r="Y485" s="46">
        <v>0.314</v>
      </c>
      <c r="Z485" s="46">
        <v>3.9E-2</v>
      </c>
      <c r="AA485" s="46">
        <v>5.0999999999999997E-2</v>
      </c>
      <c r="AB485" s="46">
        <v>7.4999999999999997E-3</v>
      </c>
      <c r="AC485" s="46">
        <v>0.08</v>
      </c>
      <c r="AD485" s="46">
        <v>9.9040000000000003E-2</v>
      </c>
      <c r="AE485" s="46">
        <v>0.92</v>
      </c>
      <c r="AF485" s="59" t="s">
        <v>1576</v>
      </c>
      <c r="AG485" s="59"/>
      <c r="AH485" s="59" t="s">
        <v>1635</v>
      </c>
    </row>
    <row r="486" spans="22:34" x14ac:dyDescent="0.25">
      <c r="V486" s="59" t="s">
        <v>821</v>
      </c>
      <c r="W486" s="46">
        <v>0.65300000000000002</v>
      </c>
      <c r="X486" s="46">
        <v>8.0000000000000002E-3</v>
      </c>
      <c r="Y486" s="46">
        <v>0.27600000000000002</v>
      </c>
      <c r="Z486" s="46">
        <v>3.7999999999999999E-2</v>
      </c>
      <c r="AA486" s="46">
        <v>6.3E-2</v>
      </c>
      <c r="AB486" s="46">
        <v>8.0000000000000002E-3</v>
      </c>
      <c r="AC486" s="46">
        <v>7.4999999999999997E-2</v>
      </c>
      <c r="AD486" s="46">
        <v>0.10448</v>
      </c>
      <c r="AE486" s="46">
        <v>0.92500000000000004</v>
      </c>
      <c r="AF486" s="59" t="s">
        <v>1576</v>
      </c>
      <c r="AG486" s="59"/>
      <c r="AH486" s="59" t="s">
        <v>1635</v>
      </c>
    </row>
    <row r="487" spans="22:34" x14ac:dyDescent="0.25">
      <c r="V487" s="59" t="s">
        <v>822</v>
      </c>
      <c r="W487" s="46">
        <v>0.68700000000000006</v>
      </c>
      <c r="X487" s="46">
        <v>5.0000000000000001E-3</v>
      </c>
      <c r="Y487" s="46">
        <v>0.24799999999999997</v>
      </c>
      <c r="Z487" s="46">
        <v>0.04</v>
      </c>
      <c r="AA487" s="46">
        <v>0.06</v>
      </c>
      <c r="AB487" s="46">
        <v>9.5999999999999992E-3</v>
      </c>
      <c r="AC487" s="46">
        <v>4.7999999999999973E-2</v>
      </c>
      <c r="AD487" s="46">
        <v>0.10992</v>
      </c>
      <c r="AE487" s="46">
        <v>0.95200000000000007</v>
      </c>
      <c r="AF487" s="59" t="s">
        <v>1576</v>
      </c>
      <c r="AG487" s="59"/>
      <c r="AH487" s="59" t="s">
        <v>1635</v>
      </c>
    </row>
    <row r="488" spans="22:34" x14ac:dyDescent="0.25">
      <c r="V488" s="59" t="s">
        <v>817</v>
      </c>
      <c r="W488" s="46">
        <v>0.7</v>
      </c>
      <c r="X488" s="46">
        <v>0.01</v>
      </c>
      <c r="Y488" s="46">
        <v>0.27699999999999997</v>
      </c>
      <c r="Z488" s="46">
        <v>5.4000000000000006E-2</v>
      </c>
      <c r="AA488" s="46">
        <v>1.3000000000000001E-2</v>
      </c>
      <c r="AB488" s="46">
        <v>4.0000000000000001E-3</v>
      </c>
      <c r="AC488" s="46">
        <v>4.4999999999999998E-2</v>
      </c>
      <c r="AD488" s="46">
        <v>0.11199999999999999</v>
      </c>
      <c r="AE488" s="46">
        <v>0.95499999999999996</v>
      </c>
      <c r="AF488" s="59" t="s">
        <v>1576</v>
      </c>
      <c r="AG488" s="59"/>
      <c r="AH488" s="59" t="s">
        <v>1635</v>
      </c>
    </row>
    <row r="489" spans="22:34" x14ac:dyDescent="0.25">
      <c r="V489" s="59" t="s">
        <v>825</v>
      </c>
      <c r="W489" s="46">
        <v>0.55000000000000004</v>
      </c>
      <c r="X489" s="46">
        <v>2.5000000000000001E-2</v>
      </c>
      <c r="Y489" s="46">
        <v>0.35200000000000004</v>
      </c>
      <c r="Z489" s="46">
        <v>3.5000000000000003E-2</v>
      </c>
      <c r="AA489" s="46">
        <v>7.2999999999999995E-2</v>
      </c>
      <c r="AB489" s="46">
        <v>8.0000000000000002E-3</v>
      </c>
      <c r="AC489" s="46">
        <v>0.08</v>
      </c>
      <c r="AD489" s="46">
        <v>8.8000000000000009E-2</v>
      </c>
      <c r="AE489" s="46">
        <v>0.92</v>
      </c>
      <c r="AF489" s="59" t="s">
        <v>1576</v>
      </c>
      <c r="AG489" s="59"/>
      <c r="AH489" s="59" t="s">
        <v>1635</v>
      </c>
    </row>
    <row r="490" spans="22:34" x14ac:dyDescent="0.25">
      <c r="V490" s="59" t="s">
        <v>824</v>
      </c>
      <c r="W490" s="46">
        <v>0.63</v>
      </c>
      <c r="X490" s="46">
        <v>4.0999999999999995E-2</v>
      </c>
      <c r="Y490" s="46">
        <v>0.29699999999999999</v>
      </c>
      <c r="Z490" s="46">
        <v>3.5000000000000003E-2</v>
      </c>
      <c r="AA490" s="46">
        <v>3.2000000000000001E-2</v>
      </c>
      <c r="AB490" s="46">
        <v>5.5000000000000005E-3</v>
      </c>
      <c r="AC490" s="46">
        <v>0.1</v>
      </c>
      <c r="AD490" s="46">
        <v>0.1008</v>
      </c>
      <c r="AE490" s="46">
        <v>0.9</v>
      </c>
      <c r="AF490" s="59" t="s">
        <v>1576</v>
      </c>
      <c r="AG490" s="59"/>
      <c r="AH490" s="59" t="s">
        <v>1635</v>
      </c>
    </row>
    <row r="491" spans="22:34" x14ac:dyDescent="0.25">
      <c r="V491" s="59" t="s">
        <v>823</v>
      </c>
      <c r="W491" s="46">
        <v>0.6</v>
      </c>
      <c r="X491" s="46">
        <v>0.01</v>
      </c>
      <c r="Y491" s="46">
        <v>0.33</v>
      </c>
      <c r="Z491" s="46">
        <v>4.4999999999999998E-2</v>
      </c>
      <c r="AA491" s="46">
        <v>0.06</v>
      </c>
      <c r="AB491" s="46">
        <v>7.3000000000000001E-3</v>
      </c>
      <c r="AC491" s="46">
        <v>7.0000000000000007E-2</v>
      </c>
      <c r="AD491" s="46">
        <v>9.6000000000000002E-2</v>
      </c>
      <c r="AE491" s="46">
        <v>0.93</v>
      </c>
      <c r="AF491" s="59" t="s">
        <v>1576</v>
      </c>
      <c r="AG491" s="59"/>
      <c r="AH491" s="59" t="s">
        <v>1635</v>
      </c>
    </row>
    <row r="492" spans="22:34" x14ac:dyDescent="0.25">
      <c r="V492" s="59" t="s">
        <v>827</v>
      </c>
      <c r="W492" s="46">
        <v>0.83599999999999997</v>
      </c>
      <c r="X492" s="46">
        <v>5.0000000000000001E-3</v>
      </c>
      <c r="Y492" s="46">
        <v>0.12400000000000005</v>
      </c>
      <c r="Z492" s="46">
        <v>1E-3</v>
      </c>
      <c r="AA492" s="46">
        <v>3.5000000000000003E-2</v>
      </c>
      <c r="AB492" s="46">
        <v>6.8000000000000005E-3</v>
      </c>
      <c r="AC492" s="46">
        <v>7.0000000000000007E-2</v>
      </c>
      <c r="AD492" s="46">
        <v>0.13375999999999999</v>
      </c>
      <c r="AE492" s="46">
        <v>0.93</v>
      </c>
      <c r="AF492" s="59" t="s">
        <v>1576</v>
      </c>
      <c r="AG492" s="59"/>
      <c r="AH492" s="59" t="s">
        <v>1635</v>
      </c>
    </row>
    <row r="493" spans="22:34" x14ac:dyDescent="0.25">
      <c r="V493" s="59" t="s">
        <v>826</v>
      </c>
      <c r="W493" s="46">
        <v>0.82799999999999996</v>
      </c>
      <c r="X493" s="46">
        <v>6.0000000000000001E-3</v>
      </c>
      <c r="Y493" s="46">
        <v>0.10600000000000001</v>
      </c>
      <c r="Z493" s="46">
        <v>0.01</v>
      </c>
      <c r="AA493" s="46">
        <v>0.06</v>
      </c>
      <c r="AB493" s="46">
        <v>6.5000000000000006E-3</v>
      </c>
      <c r="AC493" s="46">
        <v>0.08</v>
      </c>
      <c r="AD493" s="46">
        <v>0.13247999999999999</v>
      </c>
      <c r="AE493" s="46">
        <v>0.92</v>
      </c>
      <c r="AF493" s="59" t="s">
        <v>1576</v>
      </c>
      <c r="AG493" s="59"/>
      <c r="AH493" s="59" t="s">
        <v>1635</v>
      </c>
    </row>
    <row r="494" spans="22:34" x14ac:dyDescent="0.25">
      <c r="V494" s="59" t="s">
        <v>1756</v>
      </c>
      <c r="W494" s="46">
        <v>0.34799999999999998</v>
      </c>
      <c r="X494" s="46">
        <v>0.17899999999999999</v>
      </c>
      <c r="Y494" s="46">
        <v>0.42100000000000004</v>
      </c>
      <c r="Z494" s="46">
        <v>0.21950000000000003</v>
      </c>
      <c r="AA494" s="46">
        <v>5.2000000000000005E-2</v>
      </c>
      <c r="AB494" s="46">
        <v>5.5000000000000005E-3</v>
      </c>
      <c r="AC494" s="46">
        <v>0.11900000000000005</v>
      </c>
      <c r="AD494" s="46">
        <v>5.5679999999999993E-2</v>
      </c>
      <c r="AE494" s="46">
        <v>0.88099999999999989</v>
      </c>
      <c r="AF494" s="59" t="s">
        <v>526</v>
      </c>
      <c r="AG494" s="59"/>
      <c r="AH494" s="59" t="s">
        <v>1635</v>
      </c>
    </row>
    <row r="495" spans="22:34" x14ac:dyDescent="0.25">
      <c r="V495" s="59" t="s">
        <v>1757</v>
      </c>
      <c r="W495" s="46">
        <v>0.35200000000000004</v>
      </c>
      <c r="X495" s="46">
        <v>0.192</v>
      </c>
      <c r="Y495" s="46">
        <v>0.40399999999999991</v>
      </c>
      <c r="Z495" s="46">
        <v>0.19669999999999987</v>
      </c>
      <c r="AA495" s="46">
        <v>5.2000000000000005E-2</v>
      </c>
      <c r="AB495" s="46">
        <v>5.3E-3</v>
      </c>
      <c r="AC495" s="46">
        <v>0.11400000000000006</v>
      </c>
      <c r="AD495" s="46">
        <v>5.6320000000000009E-2</v>
      </c>
      <c r="AE495" s="46">
        <v>0.8859999999999999</v>
      </c>
      <c r="AF495" s="59" t="s">
        <v>526</v>
      </c>
      <c r="AG495" s="59"/>
      <c r="AH495" s="59" t="s">
        <v>1635</v>
      </c>
    </row>
    <row r="496" spans="22:34" x14ac:dyDescent="0.25">
      <c r="V496" s="59" t="s">
        <v>1758</v>
      </c>
      <c r="W496" s="46">
        <v>0</v>
      </c>
      <c r="X496" s="46">
        <v>1</v>
      </c>
      <c r="Y496" s="46">
        <v>0</v>
      </c>
      <c r="Z496" s="46">
        <v>0</v>
      </c>
      <c r="AA496" s="46">
        <v>0</v>
      </c>
      <c r="AB496" s="46">
        <v>0</v>
      </c>
      <c r="AC496" s="46">
        <v>0</v>
      </c>
      <c r="AD496" s="46">
        <v>0</v>
      </c>
      <c r="AE496" s="46">
        <v>1</v>
      </c>
      <c r="AF496" s="59" t="s">
        <v>526</v>
      </c>
      <c r="AG496" s="59"/>
      <c r="AH496" s="59" t="s">
        <v>1635</v>
      </c>
    </row>
    <row r="497" spans="22:34" x14ac:dyDescent="0.25">
      <c r="V497" s="59" t="s">
        <v>1759</v>
      </c>
      <c r="W497" s="46">
        <v>0.45299999999999996</v>
      </c>
      <c r="X497" s="46">
        <v>1.9E-2</v>
      </c>
      <c r="Y497" s="46">
        <v>0.46400000000000008</v>
      </c>
      <c r="Z497" s="46">
        <v>0.25280000000000002</v>
      </c>
      <c r="AA497" s="46">
        <v>6.4000000000000001E-2</v>
      </c>
      <c r="AB497" s="46">
        <v>6.1999999999999998E-3</v>
      </c>
      <c r="AC497" s="46">
        <v>0.12200000000000003</v>
      </c>
      <c r="AD497" s="46">
        <v>7.2479999999999989E-2</v>
      </c>
      <c r="AE497" s="46">
        <v>0.878</v>
      </c>
      <c r="AF497" s="59" t="s">
        <v>526</v>
      </c>
      <c r="AG497" s="59"/>
      <c r="AH497" s="59" t="s">
        <v>1635</v>
      </c>
    </row>
    <row r="498" spans="22:34" x14ac:dyDescent="0.25">
      <c r="V498" s="59" t="s">
        <v>1760</v>
      </c>
      <c r="W498" s="46">
        <v>0.47200000000000003</v>
      </c>
      <c r="X498" s="46">
        <v>1.4999999999999999E-2</v>
      </c>
      <c r="Y498" s="46">
        <v>0.45</v>
      </c>
      <c r="Z498" s="46">
        <v>0.22779999999999986</v>
      </c>
      <c r="AA498" s="46">
        <v>6.3E-2</v>
      </c>
      <c r="AB498" s="46">
        <v>6.1999999999999998E-3</v>
      </c>
      <c r="AC498" s="46">
        <v>0.12400000000000005</v>
      </c>
      <c r="AD498" s="46">
        <v>7.5520000000000004E-2</v>
      </c>
      <c r="AE498" s="46">
        <v>0.87599999999999989</v>
      </c>
      <c r="AF498" s="59" t="s">
        <v>526</v>
      </c>
      <c r="AG498" s="59"/>
      <c r="AH498" s="59" t="s">
        <v>1635</v>
      </c>
    </row>
    <row r="499" spans="22:34" x14ac:dyDescent="0.25">
      <c r="V499" s="59" t="s">
        <v>1761</v>
      </c>
      <c r="W499" s="46">
        <v>0.48</v>
      </c>
      <c r="X499" s="46">
        <v>1.9E-2</v>
      </c>
      <c r="Y499" s="46">
        <v>0.439</v>
      </c>
      <c r="Z499" s="46">
        <v>0.28110000000000002</v>
      </c>
      <c r="AA499" s="46">
        <v>6.2E-2</v>
      </c>
      <c r="AB499" s="46">
        <v>6.8999999999999999E-3</v>
      </c>
      <c r="AC499" s="46">
        <v>0.12</v>
      </c>
      <c r="AD499" s="46">
        <v>7.6799999999999993E-2</v>
      </c>
      <c r="AE499" s="46">
        <v>0.88</v>
      </c>
      <c r="AF499" s="59" t="s">
        <v>526</v>
      </c>
      <c r="AG499" s="59"/>
      <c r="AH499" s="59" t="s">
        <v>1635</v>
      </c>
    </row>
    <row r="500" spans="22:34" x14ac:dyDescent="0.25">
      <c r="V500" s="59" t="s">
        <v>828</v>
      </c>
      <c r="W500" s="46">
        <v>0.41299999999999998</v>
      </c>
      <c r="X500" s="46">
        <v>6.2E-2</v>
      </c>
      <c r="Y500" s="46">
        <v>0.46899999999999997</v>
      </c>
      <c r="Z500" s="46">
        <v>6.0999999999999999E-2</v>
      </c>
      <c r="AA500" s="46">
        <v>5.5999999999999994E-2</v>
      </c>
      <c r="AB500" s="46">
        <v>7.1999999999999998E-3</v>
      </c>
      <c r="AC500" s="46">
        <v>0.10400000000000005</v>
      </c>
      <c r="AD500" s="46">
        <v>6.608E-2</v>
      </c>
      <c r="AE500" s="46">
        <v>0.89599999999999991</v>
      </c>
      <c r="AF500" s="59" t="s">
        <v>1576</v>
      </c>
      <c r="AG500" s="59"/>
      <c r="AH500" s="59" t="s">
        <v>1635</v>
      </c>
    </row>
    <row r="501" spans="22:34" x14ac:dyDescent="0.25">
      <c r="V501" s="59" t="s">
        <v>829</v>
      </c>
      <c r="W501" s="46">
        <v>0.44</v>
      </c>
      <c r="X501" s="46">
        <v>1.3999999999999999E-2</v>
      </c>
      <c r="Y501" s="46">
        <v>0.48399999999999999</v>
      </c>
      <c r="Z501" s="46">
        <v>5.9000000000000004E-2</v>
      </c>
      <c r="AA501" s="46">
        <v>6.2E-2</v>
      </c>
      <c r="AB501" s="46">
        <v>6.8999999999999999E-3</v>
      </c>
      <c r="AC501" s="46">
        <v>0.10799999999999997</v>
      </c>
      <c r="AD501" s="46">
        <v>7.0400000000000004E-2</v>
      </c>
      <c r="AE501" s="46">
        <v>0.89200000000000002</v>
      </c>
      <c r="AF501" s="59" t="s">
        <v>1576</v>
      </c>
      <c r="AG501" s="59"/>
      <c r="AH501" s="59" t="s">
        <v>1635</v>
      </c>
    </row>
    <row r="502" spans="22:34" x14ac:dyDescent="0.25">
      <c r="V502" s="59" t="s">
        <v>830</v>
      </c>
      <c r="W502" s="46">
        <v>0.48899999999999999</v>
      </c>
      <c r="X502" s="46">
        <v>1.3999999999999999E-2</v>
      </c>
      <c r="Y502" s="46">
        <v>0.435</v>
      </c>
      <c r="Z502" s="46">
        <v>0.04</v>
      </c>
      <c r="AA502" s="46">
        <v>6.2E-2</v>
      </c>
      <c r="AB502" s="46">
        <v>6.5000000000000006E-3</v>
      </c>
      <c r="AC502" s="46">
        <v>0.10200000000000004</v>
      </c>
      <c r="AD502" s="46">
        <v>7.8240000000000004E-2</v>
      </c>
      <c r="AE502" s="46">
        <v>0.89800000000000002</v>
      </c>
      <c r="AF502" s="59" t="s">
        <v>1576</v>
      </c>
      <c r="AG502" s="59"/>
      <c r="AH502" s="59" t="s">
        <v>1635</v>
      </c>
    </row>
    <row r="503" spans="22:34" x14ac:dyDescent="0.25">
      <c r="V503" s="59" t="s">
        <v>831</v>
      </c>
      <c r="W503" s="46">
        <v>0.54500000000000004</v>
      </c>
      <c r="X503" s="46">
        <v>6.9999999999999993E-3</v>
      </c>
      <c r="Y503" s="46">
        <v>0.38400000000000001</v>
      </c>
      <c r="Z503" s="46">
        <v>2.8999999999999998E-2</v>
      </c>
      <c r="AA503" s="46">
        <v>6.4000000000000001E-2</v>
      </c>
      <c r="AB503" s="46">
        <v>7.7000000000000002E-3</v>
      </c>
      <c r="AC503" s="46">
        <v>0.10299999999999997</v>
      </c>
      <c r="AD503" s="46">
        <v>8.72E-2</v>
      </c>
      <c r="AE503" s="46">
        <v>0.89700000000000002</v>
      </c>
      <c r="AF503" s="59" t="s">
        <v>1576</v>
      </c>
      <c r="AG503" s="59"/>
      <c r="AH503" s="59" t="s">
        <v>1635</v>
      </c>
    </row>
    <row r="504" spans="22:34" x14ac:dyDescent="0.25">
      <c r="V504" s="59" t="s">
        <v>849</v>
      </c>
      <c r="W504" s="46">
        <v>0.47499999999999998</v>
      </c>
      <c r="X504" s="46">
        <v>0.01</v>
      </c>
      <c r="Y504" s="46">
        <v>0.45500000000000002</v>
      </c>
      <c r="Z504" s="46">
        <v>3.5000000000000003E-2</v>
      </c>
      <c r="AA504" s="46">
        <v>0.06</v>
      </c>
      <c r="AB504" s="46">
        <v>6.9999999999999993E-3</v>
      </c>
      <c r="AC504" s="46">
        <v>0.12</v>
      </c>
      <c r="AD504" s="46">
        <v>7.5999999999999998E-2</v>
      </c>
      <c r="AE504" s="46">
        <v>0.88</v>
      </c>
      <c r="AF504" s="59" t="s">
        <v>1576</v>
      </c>
      <c r="AG504" s="59"/>
      <c r="AH504" s="59" t="s">
        <v>1635</v>
      </c>
    </row>
    <row r="505" spans="22:34" x14ac:dyDescent="0.25">
      <c r="V505" s="59" t="s">
        <v>833</v>
      </c>
      <c r="W505" s="46">
        <v>0.45500000000000002</v>
      </c>
      <c r="X505" s="46">
        <v>1.1000000000000001E-2</v>
      </c>
      <c r="Y505" s="46">
        <v>0.47399999999999998</v>
      </c>
      <c r="Z505" s="46">
        <v>7.4999999999999997E-2</v>
      </c>
      <c r="AA505" s="46">
        <v>0.06</v>
      </c>
      <c r="AB505" s="46">
        <v>6.7000000000000002E-3</v>
      </c>
      <c r="AC505" s="46">
        <v>0.12</v>
      </c>
      <c r="AD505" s="46">
        <v>7.2800000000000004E-2</v>
      </c>
      <c r="AE505" s="46">
        <v>0.88</v>
      </c>
      <c r="AF505" s="59" t="s">
        <v>1576</v>
      </c>
      <c r="AG505" s="59"/>
      <c r="AH505" s="59" t="s">
        <v>1635</v>
      </c>
    </row>
    <row r="506" spans="22:34" x14ac:dyDescent="0.25">
      <c r="V506" s="59" t="s">
        <v>832</v>
      </c>
      <c r="W506" s="46">
        <v>0.46899999999999997</v>
      </c>
      <c r="X506" s="46">
        <v>1.9E-2</v>
      </c>
      <c r="Y506" s="46">
        <v>0.44900000000000007</v>
      </c>
      <c r="Z506" s="46">
        <v>3.7000000000000005E-2</v>
      </c>
      <c r="AA506" s="46">
        <v>6.3E-2</v>
      </c>
      <c r="AB506" s="46">
        <v>7.0999999999999995E-3</v>
      </c>
      <c r="AC506" s="46">
        <v>0.09</v>
      </c>
      <c r="AD506" s="46">
        <v>7.5039999999999996E-2</v>
      </c>
      <c r="AE506" s="46">
        <v>0.91</v>
      </c>
      <c r="AF506" s="59" t="s">
        <v>1576</v>
      </c>
      <c r="AG506" s="59"/>
      <c r="AH506" s="59" t="s">
        <v>1635</v>
      </c>
    </row>
    <row r="507" spans="22:34" x14ac:dyDescent="0.25">
      <c r="V507" s="59" t="s">
        <v>836</v>
      </c>
      <c r="W507" s="46">
        <v>0.45200000000000001</v>
      </c>
      <c r="X507" s="46">
        <v>1.1000000000000001E-2</v>
      </c>
      <c r="Y507" s="46">
        <v>0.47899999999999998</v>
      </c>
      <c r="Z507" s="46">
        <v>0.06</v>
      </c>
      <c r="AA507" s="46">
        <v>5.7999999999999996E-2</v>
      </c>
      <c r="AB507" s="46">
        <v>6.7000000000000002E-3</v>
      </c>
      <c r="AC507" s="46">
        <v>0.12</v>
      </c>
      <c r="AD507" s="46">
        <v>7.2319999999999995E-2</v>
      </c>
      <c r="AE507" s="46">
        <v>0.88</v>
      </c>
      <c r="AF507" s="59" t="s">
        <v>1576</v>
      </c>
      <c r="AG507" s="59"/>
      <c r="AH507" s="59" t="s">
        <v>1635</v>
      </c>
    </row>
    <row r="508" spans="22:34" x14ac:dyDescent="0.25">
      <c r="V508" s="59" t="s">
        <v>834</v>
      </c>
      <c r="W508" s="46">
        <v>0.46</v>
      </c>
      <c r="X508" s="46">
        <v>1.4999999999999999E-2</v>
      </c>
      <c r="Y508" s="46">
        <v>0.46200000000000002</v>
      </c>
      <c r="Z508" s="46">
        <v>0.06</v>
      </c>
      <c r="AA508" s="46">
        <v>6.3E-2</v>
      </c>
      <c r="AB508" s="46">
        <v>6.5000000000000006E-3</v>
      </c>
      <c r="AC508" s="46">
        <v>9.5000000000000001E-2</v>
      </c>
      <c r="AD508" s="46">
        <v>7.3599999999999999E-2</v>
      </c>
      <c r="AE508" s="46">
        <v>0.90500000000000003</v>
      </c>
      <c r="AF508" s="59" t="s">
        <v>1576</v>
      </c>
      <c r="AG508" s="59"/>
      <c r="AH508" s="59" t="s">
        <v>1635</v>
      </c>
    </row>
    <row r="509" spans="22:34" x14ac:dyDescent="0.25">
      <c r="V509" s="59" t="s">
        <v>834</v>
      </c>
      <c r="W509" s="46">
        <v>0.46</v>
      </c>
      <c r="X509" s="46">
        <v>1.1000000000000001E-2</v>
      </c>
      <c r="Y509" s="46">
        <v>0.47100000000000003</v>
      </c>
      <c r="Z509" s="46">
        <v>6.5000000000000002E-2</v>
      </c>
      <c r="AA509" s="46">
        <v>5.7999999999999996E-2</v>
      </c>
      <c r="AB509" s="46">
        <v>6.7000000000000002E-3</v>
      </c>
      <c r="AC509" s="46">
        <v>0.12</v>
      </c>
      <c r="AD509" s="46">
        <v>7.3599999999999999E-2</v>
      </c>
      <c r="AE509" s="46">
        <v>0.88</v>
      </c>
      <c r="AF509" s="59" t="s">
        <v>1576</v>
      </c>
      <c r="AG509" s="59"/>
      <c r="AH509" s="59" t="s">
        <v>1635</v>
      </c>
    </row>
    <row r="510" spans="22:34" x14ac:dyDescent="0.25">
      <c r="V510" s="59" t="s">
        <v>835</v>
      </c>
      <c r="W510" s="46">
        <v>0.48200000000000004</v>
      </c>
      <c r="X510" s="46">
        <v>2.1000000000000001E-2</v>
      </c>
      <c r="Y510" s="46">
        <v>0.434</v>
      </c>
      <c r="Z510" s="46">
        <v>4.0999999999999995E-2</v>
      </c>
      <c r="AA510" s="46">
        <v>6.3E-2</v>
      </c>
      <c r="AB510" s="46">
        <v>6.5000000000000006E-3</v>
      </c>
      <c r="AC510" s="46">
        <v>9.5000000000000001E-2</v>
      </c>
      <c r="AD510" s="46">
        <v>7.7120000000000008E-2</v>
      </c>
      <c r="AE510" s="46">
        <v>0.90500000000000003</v>
      </c>
      <c r="AF510" s="59" t="s">
        <v>1576</v>
      </c>
      <c r="AG510" s="59"/>
      <c r="AH510" s="59" t="s">
        <v>1635</v>
      </c>
    </row>
    <row r="511" spans="22:34" x14ac:dyDescent="0.25">
      <c r="V511" s="59" t="s">
        <v>839</v>
      </c>
      <c r="W511" s="46">
        <v>0.41799999999999998</v>
      </c>
      <c r="X511" s="46">
        <v>5.7999999999999996E-2</v>
      </c>
      <c r="Y511" s="46">
        <v>0.46500000000000008</v>
      </c>
      <c r="Z511" s="46">
        <v>4.8000000000000001E-2</v>
      </c>
      <c r="AA511" s="46">
        <v>5.9000000000000004E-2</v>
      </c>
      <c r="AB511" s="46">
        <v>5.0000000000000001E-3</v>
      </c>
      <c r="AC511" s="46">
        <v>0.11</v>
      </c>
      <c r="AD511" s="46">
        <v>6.6879999999999995E-2</v>
      </c>
      <c r="AE511" s="46">
        <v>0.89</v>
      </c>
      <c r="AF511" s="59" t="s">
        <v>1576</v>
      </c>
      <c r="AG511" s="59"/>
      <c r="AH511" s="59" t="s">
        <v>1635</v>
      </c>
    </row>
    <row r="512" spans="22:34" x14ac:dyDescent="0.25">
      <c r="V512" s="59" t="s">
        <v>837</v>
      </c>
      <c r="W512" s="46">
        <v>0.44700000000000001</v>
      </c>
      <c r="X512" s="46">
        <v>1.3000000000000001E-2</v>
      </c>
      <c r="Y512" s="46">
        <v>0.48200000000000004</v>
      </c>
      <c r="Z512" s="46">
        <v>0.06</v>
      </c>
      <c r="AA512" s="46">
        <v>5.7999999999999996E-2</v>
      </c>
      <c r="AB512" s="46">
        <v>6.7000000000000002E-3</v>
      </c>
      <c r="AC512" s="46">
        <v>0.12</v>
      </c>
      <c r="AD512" s="46">
        <v>7.152E-2</v>
      </c>
      <c r="AE512" s="46">
        <v>0.88</v>
      </c>
      <c r="AF512" s="59" t="s">
        <v>1576</v>
      </c>
      <c r="AG512" s="59"/>
      <c r="AH512" s="59" t="s">
        <v>1635</v>
      </c>
    </row>
    <row r="513" spans="22:34" x14ac:dyDescent="0.25">
      <c r="V513" s="59" t="s">
        <v>837</v>
      </c>
      <c r="W513" s="46">
        <v>0.442</v>
      </c>
      <c r="X513" s="46">
        <v>1.9E-2</v>
      </c>
      <c r="Y513" s="46">
        <v>0.47799999999999998</v>
      </c>
      <c r="Z513" s="46">
        <v>5.9000000000000004E-2</v>
      </c>
      <c r="AA513" s="46">
        <v>6.0999999999999999E-2</v>
      </c>
      <c r="AB513" s="46">
        <v>6.1999999999999998E-3</v>
      </c>
      <c r="AC513" s="46">
        <v>0.11</v>
      </c>
      <c r="AD513" s="46">
        <v>7.0720000000000005E-2</v>
      </c>
      <c r="AE513" s="46">
        <v>0.89</v>
      </c>
      <c r="AF513" s="59" t="s">
        <v>1576</v>
      </c>
      <c r="AG513" s="59"/>
      <c r="AH513" s="59" t="s">
        <v>1635</v>
      </c>
    </row>
    <row r="514" spans="22:34" x14ac:dyDescent="0.25">
      <c r="V514" s="59" t="s">
        <v>838</v>
      </c>
      <c r="W514" s="46">
        <v>0.47899999999999998</v>
      </c>
      <c r="X514" s="46">
        <v>1.4999999999999999E-2</v>
      </c>
      <c r="Y514" s="46">
        <v>0.45700000000000002</v>
      </c>
      <c r="Z514" s="46">
        <v>3.3000000000000002E-2</v>
      </c>
      <c r="AA514" s="46">
        <v>4.9000000000000002E-2</v>
      </c>
      <c r="AB514" s="46">
        <v>6.5000000000000006E-3</v>
      </c>
      <c r="AC514" s="46">
        <v>0.11</v>
      </c>
      <c r="AD514" s="46">
        <v>7.664E-2</v>
      </c>
      <c r="AE514" s="46">
        <v>0.89</v>
      </c>
      <c r="AF514" s="59" t="s">
        <v>1576</v>
      </c>
      <c r="AG514" s="59"/>
      <c r="AH514" s="59" t="s">
        <v>1635</v>
      </c>
    </row>
    <row r="515" spans="22:34" x14ac:dyDescent="0.25">
      <c r="V515" s="59" t="s">
        <v>850</v>
      </c>
      <c r="W515" s="46">
        <v>0.48599999999999999</v>
      </c>
      <c r="X515" s="46">
        <v>9.0000000000000011E-3</v>
      </c>
      <c r="Y515" s="46">
        <v>0.44500000000000001</v>
      </c>
      <c r="Z515" s="46">
        <v>0.03</v>
      </c>
      <c r="AA515" s="46">
        <v>0.06</v>
      </c>
      <c r="AB515" s="46">
        <v>6.9999999999999993E-3</v>
      </c>
      <c r="AC515" s="46">
        <v>0.11700000000000003</v>
      </c>
      <c r="AD515" s="46">
        <v>7.7759999999999996E-2</v>
      </c>
      <c r="AE515" s="46">
        <v>0.88300000000000001</v>
      </c>
      <c r="AF515" s="59" t="s">
        <v>1576</v>
      </c>
      <c r="AG515" s="59"/>
      <c r="AH515" s="59" t="s">
        <v>1635</v>
      </c>
    </row>
    <row r="516" spans="22:34" x14ac:dyDescent="0.25">
      <c r="V516" s="59" t="s">
        <v>852</v>
      </c>
      <c r="W516" s="46">
        <v>0.48799999999999999</v>
      </c>
      <c r="X516" s="46">
        <v>1.9E-2</v>
      </c>
      <c r="Y516" s="46">
        <v>0.42200000000000004</v>
      </c>
      <c r="Z516" s="46">
        <v>0.06</v>
      </c>
      <c r="AA516" s="46">
        <v>7.0999999999999994E-2</v>
      </c>
      <c r="AB516" s="46">
        <v>7.0999999999999995E-3</v>
      </c>
      <c r="AC516" s="46">
        <v>6.7000000000000032E-2</v>
      </c>
      <c r="AD516" s="46">
        <v>7.8079999999999997E-2</v>
      </c>
      <c r="AE516" s="46">
        <v>0.93299999999999994</v>
      </c>
      <c r="AF516" s="59" t="s">
        <v>1576</v>
      </c>
      <c r="AG516" s="59"/>
      <c r="AH516" s="59" t="s">
        <v>1635</v>
      </c>
    </row>
    <row r="517" spans="22:34" x14ac:dyDescent="0.25">
      <c r="V517" s="59" t="s">
        <v>843</v>
      </c>
      <c r="W517" s="46">
        <v>0.46</v>
      </c>
      <c r="X517" s="46">
        <v>1.4999999999999999E-2</v>
      </c>
      <c r="Y517" s="46">
        <v>0.46700000000000003</v>
      </c>
      <c r="Z517" s="46">
        <v>6.5000000000000002E-2</v>
      </c>
      <c r="AA517" s="46">
        <v>5.7999999999999996E-2</v>
      </c>
      <c r="AB517" s="46">
        <v>6.7000000000000002E-3</v>
      </c>
      <c r="AC517" s="46">
        <v>0.12</v>
      </c>
      <c r="AD517" s="46">
        <v>7.3599999999999999E-2</v>
      </c>
      <c r="AE517" s="46">
        <v>0.88</v>
      </c>
      <c r="AF517" s="59" t="s">
        <v>1576</v>
      </c>
      <c r="AG517" s="59"/>
      <c r="AH517" s="59" t="s">
        <v>1635</v>
      </c>
    </row>
    <row r="518" spans="22:34" x14ac:dyDescent="0.25">
      <c r="V518" s="59" t="s">
        <v>842</v>
      </c>
      <c r="W518" s="46">
        <v>0.46399999999999997</v>
      </c>
      <c r="X518" s="46">
        <v>1.1000000000000001E-2</v>
      </c>
      <c r="Y518" s="46">
        <v>0.44500000000000001</v>
      </c>
      <c r="Z518" s="46">
        <v>6.0999999999999999E-2</v>
      </c>
      <c r="AA518" s="46">
        <v>0.08</v>
      </c>
      <c r="AB518" s="46">
        <v>7.0999999999999995E-3</v>
      </c>
      <c r="AC518" s="46">
        <v>8.0999999999999947E-2</v>
      </c>
      <c r="AD518" s="46">
        <v>7.424E-2</v>
      </c>
      <c r="AE518" s="46">
        <v>0.91900000000000004</v>
      </c>
      <c r="AF518" s="59" t="s">
        <v>1576</v>
      </c>
      <c r="AG518" s="59"/>
      <c r="AH518" s="59" t="s">
        <v>1635</v>
      </c>
    </row>
    <row r="519" spans="22:34" x14ac:dyDescent="0.25">
      <c r="V519" s="59" t="s">
        <v>851</v>
      </c>
      <c r="W519" s="46">
        <v>0.47700000000000004</v>
      </c>
      <c r="X519" s="46">
        <v>1.6E-2</v>
      </c>
      <c r="Y519" s="46">
        <v>0.43799999999999994</v>
      </c>
      <c r="Z519" s="46">
        <v>5.7000000000000002E-2</v>
      </c>
      <c r="AA519" s="46">
        <v>6.9000000000000006E-2</v>
      </c>
      <c r="AB519" s="46">
        <v>7.0999999999999995E-3</v>
      </c>
      <c r="AC519" s="46">
        <v>8.2999999999999977E-2</v>
      </c>
      <c r="AD519" s="46">
        <v>7.6319999999999999E-2</v>
      </c>
      <c r="AE519" s="46">
        <v>0.91700000000000004</v>
      </c>
      <c r="AF519" s="59" t="s">
        <v>1576</v>
      </c>
      <c r="AG519" s="59"/>
      <c r="AH519" s="59" t="s">
        <v>1635</v>
      </c>
    </row>
    <row r="520" spans="22:34" x14ac:dyDescent="0.25">
      <c r="V520" s="59" t="s">
        <v>1611</v>
      </c>
      <c r="W520" s="46">
        <v>0.56100000000000005</v>
      </c>
      <c r="X520" s="46">
        <v>6.0000000000000001E-3</v>
      </c>
      <c r="Y520" s="46">
        <v>0.373</v>
      </c>
      <c r="Z520" s="46">
        <v>2.6000000000000002E-2</v>
      </c>
      <c r="AA520" s="46">
        <v>0.06</v>
      </c>
      <c r="AB520" s="46">
        <v>7.3000000000000001E-3</v>
      </c>
      <c r="AC520" s="46">
        <v>0.12</v>
      </c>
      <c r="AD520" s="46">
        <v>8.9760000000000006E-2</v>
      </c>
      <c r="AE520" s="46">
        <v>0.88</v>
      </c>
      <c r="AF520" s="59" t="s">
        <v>1576</v>
      </c>
      <c r="AG520" s="59"/>
      <c r="AH520" s="59" t="s">
        <v>1635</v>
      </c>
    </row>
    <row r="521" spans="22:34" x14ac:dyDescent="0.25">
      <c r="V521" s="59" t="s">
        <v>1612</v>
      </c>
      <c r="W521" s="46">
        <v>0.54299999999999993</v>
      </c>
      <c r="X521" s="46">
        <v>6.9999999999999993E-3</v>
      </c>
      <c r="Y521" s="46">
        <v>0.39100000000000001</v>
      </c>
      <c r="Z521" s="46">
        <v>2.7000000000000003E-2</v>
      </c>
      <c r="AA521" s="46">
        <v>5.9000000000000004E-2</v>
      </c>
      <c r="AB521" s="46">
        <v>6.9999999999999993E-3</v>
      </c>
      <c r="AC521" s="46">
        <v>0.10799999999999997</v>
      </c>
      <c r="AD521" s="46">
        <v>8.6879999999999985E-2</v>
      </c>
      <c r="AE521" s="46">
        <v>0.89200000000000002</v>
      </c>
      <c r="AF521" s="59" t="s">
        <v>1576</v>
      </c>
      <c r="AG521" s="59"/>
      <c r="AH521" s="59" t="s">
        <v>1635</v>
      </c>
    </row>
    <row r="522" spans="22:34" x14ac:dyDescent="0.25">
      <c r="V522" s="59" t="s">
        <v>1613</v>
      </c>
      <c r="W522" s="46">
        <v>0.48899999999999999</v>
      </c>
      <c r="X522" s="46">
        <v>9.0000000000000011E-3</v>
      </c>
      <c r="Y522" s="46">
        <v>0.442</v>
      </c>
      <c r="Z522" s="46">
        <v>3.6000000000000004E-2</v>
      </c>
      <c r="AA522" s="46">
        <v>0.06</v>
      </c>
      <c r="AB522" s="46">
        <v>6.6E-3</v>
      </c>
      <c r="AC522" s="46">
        <v>0.12</v>
      </c>
      <c r="AD522" s="46">
        <v>7.8240000000000004E-2</v>
      </c>
      <c r="AE522" s="46">
        <v>0.88</v>
      </c>
      <c r="AF522" s="59" t="s">
        <v>1576</v>
      </c>
      <c r="AG522" s="59"/>
      <c r="AH522" s="59" t="s">
        <v>1635</v>
      </c>
    </row>
    <row r="523" spans="22:34" x14ac:dyDescent="0.25">
      <c r="V523" s="59" t="s">
        <v>845</v>
      </c>
      <c r="W523" s="46">
        <v>0.47299999999999998</v>
      </c>
      <c r="X523" s="46">
        <v>1.6E-2</v>
      </c>
      <c r="Y523" s="46">
        <v>0.44700000000000001</v>
      </c>
      <c r="Z523" s="46">
        <v>3.6000000000000004E-2</v>
      </c>
      <c r="AA523" s="46">
        <v>6.4000000000000001E-2</v>
      </c>
      <c r="AB523" s="46">
        <v>7.1999999999999998E-3</v>
      </c>
      <c r="AC523" s="46">
        <v>9.900000000000006E-2</v>
      </c>
      <c r="AD523" s="46">
        <v>7.5679999999999997E-2</v>
      </c>
      <c r="AE523" s="46">
        <v>0.90099999999999991</v>
      </c>
      <c r="AF523" s="59" t="s">
        <v>1576</v>
      </c>
      <c r="AG523" s="59"/>
      <c r="AH523" s="59" t="s">
        <v>1635</v>
      </c>
    </row>
    <row r="524" spans="22:34" x14ac:dyDescent="0.25">
      <c r="V524" s="59" t="s">
        <v>844</v>
      </c>
      <c r="W524" s="46">
        <v>0.47799999999999998</v>
      </c>
      <c r="X524" s="46">
        <v>1.1000000000000001E-2</v>
      </c>
      <c r="Y524" s="46">
        <v>0.45100000000000001</v>
      </c>
      <c r="Z524" s="46">
        <v>0.03</v>
      </c>
      <c r="AA524" s="46">
        <v>0.06</v>
      </c>
      <c r="AB524" s="46">
        <v>6.5000000000000006E-3</v>
      </c>
      <c r="AC524" s="46">
        <v>0.12</v>
      </c>
      <c r="AD524" s="46">
        <v>7.6479999999999992E-2</v>
      </c>
      <c r="AE524" s="46">
        <v>0.88</v>
      </c>
      <c r="AF524" s="59" t="s">
        <v>1576</v>
      </c>
      <c r="AG524" s="59"/>
      <c r="AH524" s="59" t="s">
        <v>1635</v>
      </c>
    </row>
    <row r="525" spans="22:34" x14ac:dyDescent="0.25">
      <c r="V525" s="59" t="s">
        <v>846</v>
      </c>
      <c r="W525" s="46">
        <v>0.46500000000000002</v>
      </c>
      <c r="X525" s="46">
        <v>1.3000000000000001E-2</v>
      </c>
      <c r="Y525" s="46">
        <v>0.46200000000000002</v>
      </c>
      <c r="Z525" s="46">
        <v>0.03</v>
      </c>
      <c r="AA525" s="46">
        <v>0.06</v>
      </c>
      <c r="AB525" s="46">
        <v>6.9999999999999993E-3</v>
      </c>
      <c r="AC525" s="46">
        <v>8.0999999999999947E-2</v>
      </c>
      <c r="AD525" s="46">
        <v>7.4400000000000008E-2</v>
      </c>
      <c r="AE525" s="46">
        <v>0.91900000000000004</v>
      </c>
      <c r="AF525" s="59" t="s">
        <v>1576</v>
      </c>
      <c r="AG525" s="59"/>
      <c r="AH525" s="59" t="s">
        <v>1635</v>
      </c>
    </row>
    <row r="526" spans="22:34" x14ac:dyDescent="0.25">
      <c r="V526" s="59" t="s">
        <v>847</v>
      </c>
      <c r="W526" s="46">
        <v>0.52400000000000002</v>
      </c>
      <c r="X526" s="46">
        <v>1.1000000000000001E-2</v>
      </c>
      <c r="Y526" s="46">
        <v>0.40500000000000003</v>
      </c>
      <c r="Z526" s="46">
        <v>0.03</v>
      </c>
      <c r="AA526" s="46">
        <v>0.06</v>
      </c>
      <c r="AB526" s="46">
        <v>7.3000000000000001E-3</v>
      </c>
      <c r="AC526" s="46">
        <v>8.7999999999999967E-2</v>
      </c>
      <c r="AD526" s="46">
        <v>8.3839999999999998E-2</v>
      </c>
      <c r="AE526" s="46">
        <v>0.91200000000000003</v>
      </c>
      <c r="AF526" s="59" t="s">
        <v>1576</v>
      </c>
      <c r="AG526" s="59"/>
      <c r="AH526" s="59" t="s">
        <v>1635</v>
      </c>
    </row>
    <row r="527" spans="22:34" x14ac:dyDescent="0.25">
      <c r="V527" s="59" t="s">
        <v>848</v>
      </c>
      <c r="W527" s="46">
        <v>0.496</v>
      </c>
      <c r="X527" s="46">
        <v>1.2E-2</v>
      </c>
      <c r="Y527" s="46">
        <v>0.43199999999999994</v>
      </c>
      <c r="Z527" s="46">
        <v>0.03</v>
      </c>
      <c r="AA527" s="46">
        <v>0.06</v>
      </c>
      <c r="AB527" s="46">
        <v>6.6E-3</v>
      </c>
      <c r="AC527" s="46">
        <v>0.125</v>
      </c>
      <c r="AD527" s="46">
        <v>7.936E-2</v>
      </c>
      <c r="AE527" s="46">
        <v>0.875</v>
      </c>
      <c r="AF527" s="59" t="s">
        <v>1576</v>
      </c>
      <c r="AG527" s="59"/>
      <c r="AH527" s="59" t="s">
        <v>1635</v>
      </c>
    </row>
    <row r="528" spans="22:34" x14ac:dyDescent="0.25">
      <c r="V528" s="59" t="s">
        <v>941</v>
      </c>
      <c r="W528" s="46">
        <v>0</v>
      </c>
      <c r="X528" s="46">
        <v>0.99</v>
      </c>
      <c r="Y528" s="46">
        <v>0.01</v>
      </c>
      <c r="Z528" s="46">
        <v>0</v>
      </c>
      <c r="AA528" s="46">
        <v>0</v>
      </c>
      <c r="AB528" s="46">
        <v>0</v>
      </c>
      <c r="AC528" s="46">
        <v>0.01</v>
      </c>
      <c r="AD528" s="46">
        <v>0</v>
      </c>
      <c r="AE528" s="46">
        <v>0.99</v>
      </c>
      <c r="AF528" s="59" t="s">
        <v>1576</v>
      </c>
      <c r="AG528" s="59"/>
      <c r="AH528" s="59" t="s">
        <v>1635</v>
      </c>
    </row>
    <row r="529" spans="22:34" x14ac:dyDescent="0.25">
      <c r="V529" s="59" t="s">
        <v>819</v>
      </c>
      <c r="W529" s="46">
        <v>0.59200000000000008</v>
      </c>
      <c r="X529" s="46">
        <v>3.0000000000000001E-3</v>
      </c>
      <c r="Y529" s="46">
        <v>0.33600000000000002</v>
      </c>
      <c r="Z529" s="46">
        <v>0.03</v>
      </c>
      <c r="AA529" s="46">
        <v>6.9000000000000006E-2</v>
      </c>
      <c r="AB529" s="46">
        <v>7.1999999999999998E-3</v>
      </c>
      <c r="AC529" s="46">
        <v>6.2999999999999973E-2</v>
      </c>
      <c r="AD529" s="46">
        <v>9.4720000000000013E-2</v>
      </c>
      <c r="AE529" s="46">
        <v>0.93700000000000006</v>
      </c>
      <c r="AF529" s="59" t="s">
        <v>1576</v>
      </c>
      <c r="AG529" s="59"/>
      <c r="AH529" s="59" t="s">
        <v>1635</v>
      </c>
    </row>
    <row r="530" spans="22:34" x14ac:dyDescent="0.25">
      <c r="V530" s="59" t="s">
        <v>853</v>
      </c>
      <c r="W530" s="46">
        <v>0.39500000000000002</v>
      </c>
      <c r="X530" s="46">
        <v>0.20699999999999999</v>
      </c>
      <c r="Y530" s="46">
        <v>0.34</v>
      </c>
      <c r="Z530" s="46">
        <v>6.0999999999999999E-2</v>
      </c>
      <c r="AA530" s="46">
        <v>5.7999999999999996E-2</v>
      </c>
      <c r="AB530" s="46">
        <v>6.1999999999999998E-3</v>
      </c>
      <c r="AC530" s="46">
        <v>0.11</v>
      </c>
      <c r="AD530" s="46">
        <v>6.3200000000000006E-2</v>
      </c>
      <c r="AE530" s="46">
        <v>0.89</v>
      </c>
      <c r="AF530" s="59" t="s">
        <v>1576</v>
      </c>
      <c r="AG530" s="59"/>
      <c r="AH530" s="59" t="s">
        <v>1635</v>
      </c>
    </row>
    <row r="531" spans="22:34" x14ac:dyDescent="0.25">
      <c r="V531" s="59" t="s">
        <v>854</v>
      </c>
      <c r="W531" s="46">
        <v>0.39500000000000002</v>
      </c>
      <c r="X531" s="46">
        <v>0.221</v>
      </c>
      <c r="Y531" s="46">
        <v>0.32699999999999996</v>
      </c>
      <c r="Z531" s="46">
        <v>6.5000000000000002E-2</v>
      </c>
      <c r="AA531" s="46">
        <v>5.7000000000000002E-2</v>
      </c>
      <c r="AB531" s="46">
        <v>5.8999999999999999E-3</v>
      </c>
      <c r="AC531" s="46">
        <v>0.11400000000000006</v>
      </c>
      <c r="AD531" s="46">
        <v>6.3200000000000006E-2</v>
      </c>
      <c r="AE531" s="46">
        <v>0.8859999999999999</v>
      </c>
      <c r="AF531" s="59" t="s">
        <v>1576</v>
      </c>
      <c r="AG531" s="59"/>
      <c r="AH531" s="59" t="s">
        <v>1635</v>
      </c>
    </row>
    <row r="532" spans="22:34" x14ac:dyDescent="0.25">
      <c r="V532" s="59" t="s">
        <v>649</v>
      </c>
      <c r="W532" s="46">
        <v>0.92</v>
      </c>
      <c r="X532" s="46">
        <v>3.0000000000000001E-3</v>
      </c>
      <c r="Y532" s="46">
        <v>3.7000000000000005E-2</v>
      </c>
      <c r="Z532" s="46">
        <v>0</v>
      </c>
      <c r="AA532" s="46">
        <v>0.04</v>
      </c>
      <c r="AB532" s="46">
        <v>2E-3</v>
      </c>
      <c r="AC532" s="46">
        <v>0.03</v>
      </c>
      <c r="AD532" s="46">
        <v>0.1472</v>
      </c>
      <c r="AE532" s="46">
        <v>0.97</v>
      </c>
      <c r="AF532" s="59" t="s">
        <v>1576</v>
      </c>
      <c r="AG532" s="59"/>
      <c r="AH532" s="59" t="s">
        <v>1635</v>
      </c>
    </row>
    <row r="533" spans="22:34" x14ac:dyDescent="0.25">
      <c r="V533" s="59" t="s">
        <v>650</v>
      </c>
      <c r="W533" s="46">
        <v>0.78</v>
      </c>
      <c r="X533" s="46">
        <v>3.0000000000000001E-3</v>
      </c>
      <c r="Y533" s="46">
        <v>0.11699999999999999</v>
      </c>
      <c r="Z533" s="46">
        <v>0</v>
      </c>
      <c r="AA533" s="46">
        <v>0.1</v>
      </c>
      <c r="AB533" s="46">
        <v>1.3000000000000001E-2</v>
      </c>
      <c r="AC533" s="46">
        <v>0.08</v>
      </c>
      <c r="AD533" s="46">
        <v>0.12480000000000001</v>
      </c>
      <c r="AE533" s="46">
        <v>0.92</v>
      </c>
      <c r="AF533" s="59" t="s">
        <v>1576</v>
      </c>
      <c r="AG533" s="59"/>
      <c r="AH533" s="59" t="s">
        <v>1635</v>
      </c>
    </row>
    <row r="534" spans="22:34" x14ac:dyDescent="0.25">
      <c r="V534" s="59" t="s">
        <v>642</v>
      </c>
      <c r="W534" s="46">
        <v>0.47799999999999998</v>
      </c>
      <c r="X534" s="46">
        <v>0.17</v>
      </c>
      <c r="Y534" s="46">
        <v>0.26900000000000002</v>
      </c>
      <c r="Z534" s="46">
        <v>3.7999999999999999E-2</v>
      </c>
      <c r="AA534" s="46">
        <v>8.3000000000000004E-2</v>
      </c>
      <c r="AB534" s="46">
        <v>0.01</v>
      </c>
      <c r="AC534" s="46">
        <v>0.10599999999999994</v>
      </c>
      <c r="AD534" s="46">
        <v>7.6479999999999992E-2</v>
      </c>
      <c r="AE534" s="46">
        <v>0.89400000000000002</v>
      </c>
      <c r="AF534" s="59" t="s">
        <v>1576</v>
      </c>
      <c r="AG534" s="59"/>
      <c r="AH534" s="59" t="s">
        <v>1635</v>
      </c>
    </row>
    <row r="535" spans="22:34" x14ac:dyDescent="0.25">
      <c r="V535" s="59" t="s">
        <v>643</v>
      </c>
      <c r="W535" s="46">
        <v>0.72099999999999997</v>
      </c>
      <c r="X535" s="46">
        <v>0.06</v>
      </c>
      <c r="Y535" s="46">
        <v>0.14500000000000005</v>
      </c>
      <c r="Z535" s="46">
        <v>1.2E-2</v>
      </c>
      <c r="AA535" s="46">
        <v>7.400000000000001E-2</v>
      </c>
      <c r="AB535" s="46">
        <v>9.8999999999999991E-3</v>
      </c>
      <c r="AC535" s="46">
        <v>7.0999999999999938E-2</v>
      </c>
      <c r="AD535" s="46">
        <v>0.11535999999999999</v>
      </c>
      <c r="AE535" s="46">
        <v>0.92900000000000005</v>
      </c>
      <c r="AF535" s="59" t="s">
        <v>1576</v>
      </c>
      <c r="AG535" s="59"/>
      <c r="AH535" s="59" t="s">
        <v>1635</v>
      </c>
    </row>
    <row r="536" spans="22:34" x14ac:dyDescent="0.25">
      <c r="V536" s="59" t="s">
        <v>643</v>
      </c>
      <c r="W536" s="46">
        <v>0.78</v>
      </c>
      <c r="X536" s="46">
        <v>0.06</v>
      </c>
      <c r="Y536" s="46">
        <v>8.5999999999999979E-2</v>
      </c>
      <c r="Z536" s="46">
        <v>0</v>
      </c>
      <c r="AA536" s="46">
        <v>7.400000000000001E-2</v>
      </c>
      <c r="AB536" s="46">
        <v>6.0000000000000001E-3</v>
      </c>
      <c r="AC536" s="46">
        <v>0.08</v>
      </c>
      <c r="AD536" s="46">
        <v>0.12480000000000001</v>
      </c>
      <c r="AE536" s="46">
        <v>0.92</v>
      </c>
      <c r="AF536" s="59" t="s">
        <v>526</v>
      </c>
      <c r="AG536" s="59"/>
      <c r="AH536" s="59" t="s">
        <v>1635</v>
      </c>
    </row>
    <row r="537" spans="22:34" x14ac:dyDescent="0.25">
      <c r="V537" s="59" t="s">
        <v>922</v>
      </c>
      <c r="W537" s="46">
        <v>0</v>
      </c>
      <c r="X537" s="46">
        <v>0.99</v>
      </c>
      <c r="Y537" s="46">
        <v>0.01</v>
      </c>
      <c r="Z537" s="46">
        <v>0</v>
      </c>
      <c r="AA537" s="46">
        <v>0</v>
      </c>
      <c r="AB537" s="46">
        <v>0</v>
      </c>
      <c r="AC537" s="46">
        <v>0.01</v>
      </c>
      <c r="AD537" s="46">
        <v>0</v>
      </c>
      <c r="AE537" s="46">
        <v>0.99</v>
      </c>
      <c r="AF537" s="59" t="s">
        <v>1576</v>
      </c>
      <c r="AG537" s="59"/>
      <c r="AH537" s="59" t="s">
        <v>1635</v>
      </c>
    </row>
    <row r="538" spans="22:34" x14ac:dyDescent="0.25">
      <c r="V538" s="59" t="s">
        <v>855</v>
      </c>
      <c r="W538" s="46">
        <v>0</v>
      </c>
      <c r="X538" s="46">
        <v>4.0000000000000001E-3</v>
      </c>
      <c r="Y538" s="46">
        <v>0.99399999999999988</v>
      </c>
      <c r="Z538" s="46">
        <v>2E-3</v>
      </c>
      <c r="AA538" s="46">
        <v>2E-3</v>
      </c>
      <c r="AB538" s="46">
        <v>2.0000000000000001E-4</v>
      </c>
      <c r="AC538" s="46">
        <v>0.11900000000000005</v>
      </c>
      <c r="AD538" s="46">
        <v>0</v>
      </c>
      <c r="AE538" s="46">
        <v>0.88099999999999989</v>
      </c>
      <c r="AF538" s="59" t="s">
        <v>1576</v>
      </c>
      <c r="AG538" s="59"/>
      <c r="AH538" s="59" t="s">
        <v>1635</v>
      </c>
    </row>
    <row r="539" spans="22:34" x14ac:dyDescent="0.25">
      <c r="V539" s="59" t="s">
        <v>1762</v>
      </c>
      <c r="W539" s="46">
        <v>0.38700000000000001</v>
      </c>
      <c r="X539" s="46">
        <v>1.8000000000000002E-2</v>
      </c>
      <c r="Y539" s="46">
        <v>0.52500000000000002</v>
      </c>
      <c r="Z539" s="46">
        <v>0.35199999999999987</v>
      </c>
      <c r="AA539" s="46">
        <v>7.0000000000000007E-2</v>
      </c>
      <c r="AB539" s="46">
        <v>1.1000000000000001E-2</v>
      </c>
      <c r="AC539" s="46">
        <v>0.11</v>
      </c>
      <c r="AD539" s="46">
        <v>6.1920000000000003E-2</v>
      </c>
      <c r="AE539" s="46">
        <v>0.89</v>
      </c>
      <c r="AF539" s="59" t="s">
        <v>526</v>
      </c>
      <c r="AG539" s="59"/>
      <c r="AH539" s="59" t="s">
        <v>1635</v>
      </c>
    </row>
    <row r="540" spans="22:34" x14ac:dyDescent="0.25">
      <c r="V540" s="59" t="s">
        <v>868</v>
      </c>
      <c r="W540" s="46">
        <v>0.45</v>
      </c>
      <c r="X540" s="46">
        <v>3.5000000000000003E-2</v>
      </c>
      <c r="Y540" s="46">
        <v>0.435</v>
      </c>
      <c r="Z540" s="46">
        <v>0.19</v>
      </c>
      <c r="AA540" s="46">
        <v>0.08</v>
      </c>
      <c r="AB540" s="46">
        <v>1.6E-2</v>
      </c>
      <c r="AC540" s="46">
        <v>0.11</v>
      </c>
      <c r="AD540" s="46">
        <v>7.2000000000000008E-2</v>
      </c>
      <c r="AE540" s="46">
        <v>0.89</v>
      </c>
      <c r="AF540" s="59" t="s">
        <v>1576</v>
      </c>
      <c r="AG540" s="59"/>
      <c r="AH540" s="59" t="s">
        <v>1635</v>
      </c>
    </row>
    <row r="541" spans="22:34" x14ac:dyDescent="0.25">
      <c r="V541" s="59" t="s">
        <v>859</v>
      </c>
      <c r="W541" s="46">
        <v>0.312</v>
      </c>
      <c r="X541" s="46">
        <v>5.7000000000000002E-2</v>
      </c>
      <c r="Y541" s="46">
        <v>0.57499999999999996</v>
      </c>
      <c r="Z541" s="46">
        <v>0.20499999999999999</v>
      </c>
      <c r="AA541" s="46">
        <v>5.5999999999999994E-2</v>
      </c>
      <c r="AB541" s="46">
        <v>9.1999999999999998E-3</v>
      </c>
      <c r="AC541" s="46">
        <v>9.5999999999999946E-2</v>
      </c>
      <c r="AD541" s="46">
        <v>4.9919999999999999E-2</v>
      </c>
      <c r="AE541" s="46">
        <v>0.90400000000000003</v>
      </c>
      <c r="AF541" s="59" t="s">
        <v>1576</v>
      </c>
      <c r="AG541" s="59"/>
      <c r="AH541" s="59" t="s">
        <v>1635</v>
      </c>
    </row>
    <row r="542" spans="22:34" x14ac:dyDescent="0.25">
      <c r="V542" s="59" t="s">
        <v>860</v>
      </c>
      <c r="W542" s="46">
        <v>0.34899999999999998</v>
      </c>
      <c r="X542" s="46">
        <v>5.7999999999999996E-2</v>
      </c>
      <c r="Y542" s="46">
        <v>0.53400000000000003</v>
      </c>
      <c r="Z542" s="46">
        <v>0.17499999999999999</v>
      </c>
      <c r="AA542" s="46">
        <v>5.9000000000000004E-2</v>
      </c>
      <c r="AB542" s="46">
        <v>9.5999999999999992E-3</v>
      </c>
      <c r="AC542" s="46">
        <v>9.2000000000000026E-2</v>
      </c>
      <c r="AD542" s="46">
        <v>5.5839999999999994E-2</v>
      </c>
      <c r="AE542" s="46">
        <v>0.90799999999999992</v>
      </c>
      <c r="AF542" s="59" t="s">
        <v>1576</v>
      </c>
      <c r="AG542" s="59"/>
      <c r="AH542" s="59" t="s">
        <v>1635</v>
      </c>
    </row>
    <row r="543" spans="22:34" x14ac:dyDescent="0.25">
      <c r="V543" s="59" t="s">
        <v>863</v>
      </c>
      <c r="W543" s="46">
        <v>0.185</v>
      </c>
      <c r="X543" s="46">
        <v>0.255</v>
      </c>
      <c r="Y543" s="46">
        <v>0.47600000000000003</v>
      </c>
      <c r="Z543" s="46">
        <v>0.2</v>
      </c>
      <c r="AA543" s="46">
        <v>8.4000000000000005E-2</v>
      </c>
      <c r="AB543" s="46">
        <v>9.5999999999999992E-3</v>
      </c>
      <c r="AC543" s="46">
        <v>6.0999999999999943E-2</v>
      </c>
      <c r="AD543" s="46">
        <v>2.9600000000000001E-2</v>
      </c>
      <c r="AE543" s="46">
        <v>0.93900000000000006</v>
      </c>
      <c r="AF543" s="59" t="s">
        <v>1576</v>
      </c>
      <c r="AG543" s="59"/>
      <c r="AH543" s="59" t="s">
        <v>1635</v>
      </c>
    </row>
    <row r="544" spans="22:34" x14ac:dyDescent="0.25">
      <c r="V544" s="59" t="s">
        <v>866</v>
      </c>
      <c r="W544" s="46">
        <v>0.34799999999999998</v>
      </c>
      <c r="X544" s="46">
        <v>1.2E-2</v>
      </c>
      <c r="Y544" s="46">
        <v>0.56499999999999995</v>
      </c>
      <c r="Z544" s="46">
        <v>0.22899999999999998</v>
      </c>
      <c r="AA544" s="46">
        <v>7.4999999999999997E-2</v>
      </c>
      <c r="AB544" s="46">
        <v>9.1999999999999998E-3</v>
      </c>
      <c r="AC544" s="46">
        <v>0.08</v>
      </c>
      <c r="AD544" s="46">
        <v>5.5679999999999993E-2</v>
      </c>
      <c r="AE544" s="46">
        <v>0.92</v>
      </c>
      <c r="AF544" s="59" t="s">
        <v>1576</v>
      </c>
      <c r="AG544" s="59"/>
      <c r="AH544" s="59" t="s">
        <v>1635</v>
      </c>
    </row>
    <row r="545" spans="22:34" x14ac:dyDescent="0.25">
      <c r="V545" s="59" t="s">
        <v>861</v>
      </c>
      <c r="W545" s="46">
        <v>0.41799999999999998</v>
      </c>
      <c r="X545" s="46">
        <v>3.2000000000000001E-2</v>
      </c>
      <c r="Y545" s="46">
        <v>0.46200000000000002</v>
      </c>
      <c r="Z545" s="46">
        <v>0.2</v>
      </c>
      <c r="AA545" s="46">
        <v>8.8000000000000009E-2</v>
      </c>
      <c r="AB545" s="46">
        <v>0.02</v>
      </c>
      <c r="AC545" s="46">
        <v>0.09</v>
      </c>
      <c r="AD545" s="46">
        <v>6.6879999999999995E-2</v>
      </c>
      <c r="AE545" s="46">
        <v>0.91</v>
      </c>
      <c r="AF545" s="59" t="s">
        <v>1576</v>
      </c>
      <c r="AG545" s="59"/>
      <c r="AH545" s="59" t="s">
        <v>1635</v>
      </c>
    </row>
    <row r="546" spans="22:34" x14ac:dyDescent="0.25">
      <c r="V546" s="59" t="s">
        <v>865</v>
      </c>
      <c r="W546" s="46">
        <v>0.35</v>
      </c>
      <c r="X546" s="46">
        <v>1.2E-2</v>
      </c>
      <c r="Y546" s="46">
        <v>0.56299999999999994</v>
      </c>
      <c r="Z546" s="46">
        <v>0.23499999999999999</v>
      </c>
      <c r="AA546" s="46">
        <v>7.4999999999999997E-2</v>
      </c>
      <c r="AB546" s="46">
        <v>9.300000000000001E-3</v>
      </c>
      <c r="AC546" s="46">
        <v>8.5000000000000006E-2</v>
      </c>
      <c r="AD546" s="46">
        <v>5.5999999999999994E-2</v>
      </c>
      <c r="AE546" s="46">
        <v>0.91500000000000004</v>
      </c>
      <c r="AF546" s="59" t="s">
        <v>1576</v>
      </c>
      <c r="AG546" s="59"/>
      <c r="AH546" s="59" t="s">
        <v>1635</v>
      </c>
    </row>
    <row r="547" spans="22:34" x14ac:dyDescent="0.25">
      <c r="V547" s="59" t="s">
        <v>856</v>
      </c>
      <c r="W547" s="46">
        <v>0.318</v>
      </c>
      <c r="X547" s="46">
        <v>2.3E-2</v>
      </c>
      <c r="Y547" s="46">
        <v>0.58800000000000008</v>
      </c>
      <c r="Z547" s="46">
        <v>0.29100000000000004</v>
      </c>
      <c r="AA547" s="46">
        <v>7.0999999999999994E-2</v>
      </c>
      <c r="AB547" s="46">
        <v>1.1599999999999999E-2</v>
      </c>
      <c r="AC547" s="46">
        <v>0.10200000000000004</v>
      </c>
      <c r="AD547" s="46">
        <v>5.0880000000000002E-2</v>
      </c>
      <c r="AE547" s="46">
        <v>0.89800000000000002</v>
      </c>
      <c r="AF547" s="59" t="s">
        <v>1576</v>
      </c>
      <c r="AG547" s="59"/>
      <c r="AH547" s="59" t="s">
        <v>1635</v>
      </c>
    </row>
    <row r="548" spans="22:34" x14ac:dyDescent="0.25">
      <c r="V548" s="59" t="s">
        <v>858</v>
      </c>
      <c r="W548" s="46">
        <v>0.41</v>
      </c>
      <c r="X548" s="46">
        <v>7.5999999999999998E-2</v>
      </c>
      <c r="Y548" s="46">
        <v>0.44600000000000001</v>
      </c>
      <c r="Z548" s="46">
        <v>0.21</v>
      </c>
      <c r="AA548" s="46">
        <v>6.8000000000000005E-2</v>
      </c>
      <c r="AB548" s="46">
        <v>9.300000000000001E-3</v>
      </c>
      <c r="AC548" s="46">
        <v>7.0000000000000007E-2</v>
      </c>
      <c r="AD548" s="46">
        <v>6.5599999999999992E-2</v>
      </c>
      <c r="AE548" s="46">
        <v>0.93</v>
      </c>
      <c r="AF548" s="59" t="s">
        <v>1576</v>
      </c>
      <c r="AG548" s="59"/>
      <c r="AH548" s="59" t="s">
        <v>1635</v>
      </c>
    </row>
    <row r="549" spans="22:34" x14ac:dyDescent="0.25">
      <c r="V549" s="59" t="s">
        <v>864</v>
      </c>
      <c r="W549" s="46">
        <v>0.35200000000000004</v>
      </c>
      <c r="X549" s="46">
        <v>9.0000000000000011E-3</v>
      </c>
      <c r="Y549" s="46">
        <v>0.56399999999999995</v>
      </c>
      <c r="Z549" s="46">
        <v>0.19600000000000001</v>
      </c>
      <c r="AA549" s="46">
        <v>7.4999999999999997E-2</v>
      </c>
      <c r="AB549" s="46">
        <v>8.1000000000000013E-3</v>
      </c>
      <c r="AC549" s="46">
        <v>7.7999999999999972E-2</v>
      </c>
      <c r="AD549" s="46">
        <v>5.6320000000000009E-2</v>
      </c>
      <c r="AE549" s="46">
        <v>0.92200000000000004</v>
      </c>
      <c r="AF549" s="59" t="s">
        <v>1576</v>
      </c>
      <c r="AG549" s="59"/>
      <c r="AH549" s="59" t="s">
        <v>1635</v>
      </c>
    </row>
    <row r="550" spans="22:34" x14ac:dyDescent="0.25">
      <c r="V550" s="59" t="s">
        <v>862</v>
      </c>
      <c r="W550" s="46">
        <v>0.38700000000000001</v>
      </c>
      <c r="X550" s="46">
        <v>6.9999999999999993E-3</v>
      </c>
      <c r="Y550" s="46">
        <v>0.53299999999999992</v>
      </c>
      <c r="Z550" s="46">
        <v>0.22</v>
      </c>
      <c r="AA550" s="46">
        <v>7.2999999999999995E-2</v>
      </c>
      <c r="AB550" s="46">
        <v>1.3000000000000001E-2</v>
      </c>
      <c r="AC550" s="46">
        <v>9.2000000000000026E-2</v>
      </c>
      <c r="AD550" s="46">
        <v>6.1920000000000003E-2</v>
      </c>
      <c r="AE550" s="46">
        <v>0.90799999999999992</v>
      </c>
      <c r="AF550" s="59" t="s">
        <v>1576</v>
      </c>
      <c r="AG550" s="59"/>
      <c r="AH550" s="59" t="s">
        <v>1635</v>
      </c>
    </row>
    <row r="551" spans="22:34" x14ac:dyDescent="0.25">
      <c r="V551" s="59" t="s">
        <v>867</v>
      </c>
      <c r="W551" s="46">
        <v>0.36399999999999999</v>
      </c>
      <c r="X551" s="46">
        <v>1.4999999999999999E-2</v>
      </c>
      <c r="Y551" s="46">
        <v>0.55200000000000005</v>
      </c>
      <c r="Z551" s="46">
        <v>0.25</v>
      </c>
      <c r="AA551" s="46">
        <v>6.9000000000000006E-2</v>
      </c>
      <c r="AB551" s="46">
        <v>8.1000000000000013E-3</v>
      </c>
      <c r="AC551" s="46">
        <v>9.5999999999999946E-2</v>
      </c>
      <c r="AD551" s="46">
        <v>5.824E-2</v>
      </c>
      <c r="AE551" s="46">
        <v>0.90400000000000003</v>
      </c>
      <c r="AF551" s="59" t="s">
        <v>1576</v>
      </c>
      <c r="AG551" s="59"/>
      <c r="AH551" s="59" t="s">
        <v>1635</v>
      </c>
    </row>
    <row r="552" spans="22:34" x14ac:dyDescent="0.25">
      <c r="V552" s="59" t="s">
        <v>857</v>
      </c>
      <c r="W552" s="46">
        <v>0.377</v>
      </c>
      <c r="X552" s="46">
        <v>1.8000000000000002E-2</v>
      </c>
      <c r="Y552" s="46">
        <v>0.52800000000000002</v>
      </c>
      <c r="Z552" s="46">
        <v>0.22800000000000001</v>
      </c>
      <c r="AA552" s="46">
        <v>7.6999999999999999E-2</v>
      </c>
      <c r="AB552" s="46">
        <v>1.3000000000000001E-2</v>
      </c>
      <c r="AC552" s="46">
        <v>0.10200000000000004</v>
      </c>
      <c r="AD552" s="46">
        <v>6.0319999999999999E-2</v>
      </c>
      <c r="AE552" s="46">
        <v>0.89800000000000002</v>
      </c>
      <c r="AF552" s="59" t="s">
        <v>1576</v>
      </c>
      <c r="AG552" s="59"/>
      <c r="AH552" s="59" t="s">
        <v>1635</v>
      </c>
    </row>
    <row r="553" spans="22:34" x14ac:dyDescent="0.25">
      <c r="V553" s="59" t="s">
        <v>942</v>
      </c>
      <c r="W553" s="46">
        <v>0</v>
      </c>
      <c r="X553" s="46">
        <v>0.99</v>
      </c>
      <c r="Y553" s="46">
        <v>0.01</v>
      </c>
      <c r="Z553" s="46">
        <v>0</v>
      </c>
      <c r="AA553" s="46">
        <v>0</v>
      </c>
      <c r="AB553" s="46">
        <v>0</v>
      </c>
      <c r="AC553" s="46">
        <v>0.01</v>
      </c>
      <c r="AD553" s="46">
        <v>0</v>
      </c>
      <c r="AE553" s="46">
        <v>0.99</v>
      </c>
      <c r="AF553" s="59" t="s">
        <v>1576</v>
      </c>
      <c r="AG553" s="59"/>
      <c r="AH553" s="59" t="s">
        <v>1635</v>
      </c>
    </row>
    <row r="554" spans="22:34" x14ac:dyDescent="0.25">
      <c r="V554" s="59" t="s">
        <v>942</v>
      </c>
      <c r="W554" s="46">
        <v>0</v>
      </c>
      <c r="X554" s="46">
        <v>1</v>
      </c>
      <c r="Y554" s="46">
        <v>0</v>
      </c>
      <c r="Z554" s="46">
        <v>0</v>
      </c>
      <c r="AA554" s="46">
        <v>0</v>
      </c>
      <c r="AB554" s="46">
        <v>0</v>
      </c>
      <c r="AC554" s="46">
        <v>0</v>
      </c>
      <c r="AD554" s="46">
        <v>0</v>
      </c>
      <c r="AE554" s="46">
        <v>1</v>
      </c>
      <c r="AF554" s="59" t="s">
        <v>526</v>
      </c>
      <c r="AG554" s="59"/>
      <c r="AH554" s="59" t="s">
        <v>1635</v>
      </c>
    </row>
    <row r="555" spans="22:34" x14ac:dyDescent="0.25">
      <c r="V555" s="59" t="s">
        <v>869</v>
      </c>
      <c r="W555" s="46">
        <v>4.5999999999999999E-2</v>
      </c>
      <c r="X555" s="46">
        <v>1.3000000000000001E-2</v>
      </c>
      <c r="Y555" s="46">
        <v>0.91100000000000003</v>
      </c>
      <c r="Z555" s="46">
        <v>2.7999999999999997E-2</v>
      </c>
      <c r="AA555" s="46">
        <v>0.03</v>
      </c>
      <c r="AB555" s="46">
        <v>1.6000000000000001E-3</v>
      </c>
      <c r="AC555" s="46">
        <v>0.12099999999999994</v>
      </c>
      <c r="AD555" s="46">
        <v>7.3600000000000002E-3</v>
      </c>
      <c r="AE555" s="46">
        <v>0.879</v>
      </c>
      <c r="AF555" s="59" t="s">
        <v>1576</v>
      </c>
      <c r="AG555" s="59"/>
      <c r="AH555" s="59" t="s">
        <v>1635</v>
      </c>
    </row>
    <row r="556" spans="22:34" x14ac:dyDescent="0.25">
      <c r="V556" s="59" t="s">
        <v>926</v>
      </c>
      <c r="W556" s="46">
        <v>0</v>
      </c>
      <c r="X556" s="46">
        <v>0.99</v>
      </c>
      <c r="Y556" s="46">
        <v>0.01</v>
      </c>
      <c r="Z556" s="46">
        <v>0</v>
      </c>
      <c r="AA556" s="46">
        <v>0</v>
      </c>
      <c r="AB556" s="46">
        <v>0</v>
      </c>
      <c r="AC556" s="46">
        <v>0.01</v>
      </c>
      <c r="AD556" s="46">
        <v>0</v>
      </c>
      <c r="AE556" s="46">
        <v>0.99</v>
      </c>
      <c r="AF556" s="59" t="s">
        <v>1576</v>
      </c>
      <c r="AG556" s="59"/>
      <c r="AH556" s="59" t="s">
        <v>1635</v>
      </c>
    </row>
    <row r="557" spans="22:34" x14ac:dyDescent="0.25">
      <c r="V557" s="59" t="s">
        <v>870</v>
      </c>
      <c r="W557" s="46">
        <v>0.21</v>
      </c>
      <c r="X557" s="46">
        <v>0.13300000000000001</v>
      </c>
      <c r="Y557" s="46">
        <v>0.60499999999999998</v>
      </c>
      <c r="Z557" s="46">
        <v>0.39</v>
      </c>
      <c r="AA557" s="46">
        <v>5.2000000000000005E-2</v>
      </c>
      <c r="AB557" s="46">
        <v>4.0000000000000001E-3</v>
      </c>
      <c r="AC557" s="46">
        <v>6.5000000000000002E-2</v>
      </c>
      <c r="AD557" s="46">
        <v>3.3599999999999998E-2</v>
      </c>
      <c r="AE557" s="46">
        <v>0.93500000000000005</v>
      </c>
      <c r="AF557" s="59" t="s">
        <v>1576</v>
      </c>
      <c r="AG557" s="59"/>
      <c r="AH557" s="59" t="s">
        <v>1635</v>
      </c>
    </row>
    <row r="558" spans="22:34" x14ac:dyDescent="0.25">
      <c r="V558" s="59" t="s">
        <v>1763</v>
      </c>
      <c r="W558" s="46">
        <v>0.66200000000000003</v>
      </c>
      <c r="X558" s="46">
        <v>9.6000000000000002E-2</v>
      </c>
      <c r="Y558" s="46">
        <v>0.10549999999999995</v>
      </c>
      <c r="Z558" s="46">
        <v>0</v>
      </c>
      <c r="AA558" s="46">
        <v>0.13650000000000001</v>
      </c>
      <c r="AB558" s="46">
        <v>2.5499999999999998E-2</v>
      </c>
      <c r="AC558" s="46">
        <v>0.08</v>
      </c>
      <c r="AD558" s="46">
        <v>0.10592</v>
      </c>
      <c r="AE558" s="46">
        <v>0.92</v>
      </c>
      <c r="AF558" s="59" t="s">
        <v>526</v>
      </c>
      <c r="AG558" s="59"/>
      <c r="AH558" s="59" t="s">
        <v>1635</v>
      </c>
    </row>
    <row r="559" spans="22:34" x14ac:dyDescent="0.25">
      <c r="V559" s="59" t="s">
        <v>871</v>
      </c>
      <c r="W559" s="46">
        <v>0.124</v>
      </c>
      <c r="X559" s="46">
        <v>1.4999999999999999E-2</v>
      </c>
      <c r="Y559" s="46">
        <v>0.84499999999999997</v>
      </c>
      <c r="Z559" s="46">
        <v>2.6000000000000002E-2</v>
      </c>
      <c r="AA559" s="46">
        <v>1.6E-2</v>
      </c>
      <c r="AB559" s="46">
        <v>3.9000000000000003E-3</v>
      </c>
      <c r="AC559" s="46">
        <v>0.10900000000000006</v>
      </c>
      <c r="AD559" s="46">
        <v>1.984E-2</v>
      </c>
      <c r="AE559" s="46">
        <v>0.8909999999999999</v>
      </c>
      <c r="AF559" s="59" t="s">
        <v>1576</v>
      </c>
      <c r="AG559" s="59"/>
      <c r="AH559" s="59" t="s">
        <v>1635</v>
      </c>
    </row>
    <row r="560" spans="22:34" x14ac:dyDescent="0.25">
      <c r="V560" s="59" t="s">
        <v>631</v>
      </c>
      <c r="W560" s="46">
        <v>0.23</v>
      </c>
      <c r="X560" s="46">
        <v>7.400000000000001E-2</v>
      </c>
      <c r="Y560" s="46">
        <v>0.62999999999999989</v>
      </c>
      <c r="Z560" s="46">
        <v>0</v>
      </c>
      <c r="AA560" s="46">
        <v>6.6000000000000003E-2</v>
      </c>
      <c r="AB560" s="46">
        <v>1.84E-2</v>
      </c>
      <c r="AC560" s="46">
        <v>0.57999999999999996</v>
      </c>
      <c r="AD560" s="46">
        <v>3.6799999999999999E-2</v>
      </c>
      <c r="AE560" s="46">
        <v>0.42</v>
      </c>
      <c r="AF560" s="59" t="s">
        <v>1576</v>
      </c>
      <c r="AG560" s="59"/>
      <c r="AH560" s="59" t="s">
        <v>1635</v>
      </c>
    </row>
    <row r="561" spans="22:34" x14ac:dyDescent="0.25">
      <c r="V561" s="59" t="s">
        <v>630</v>
      </c>
      <c r="W561" s="46">
        <v>0.18</v>
      </c>
      <c r="X561" s="46">
        <v>0.22</v>
      </c>
      <c r="Y561" s="46">
        <v>0.54500000000000004</v>
      </c>
      <c r="Z561" s="46">
        <v>0</v>
      </c>
      <c r="AA561" s="46">
        <v>5.5E-2</v>
      </c>
      <c r="AB561" s="46">
        <v>1.4999999999999999E-2</v>
      </c>
      <c r="AC561" s="46">
        <v>0.52</v>
      </c>
      <c r="AD561" s="46">
        <v>2.8799999999999999E-2</v>
      </c>
      <c r="AE561" s="46">
        <v>0.48</v>
      </c>
      <c r="AF561" s="59" t="s">
        <v>1576</v>
      </c>
      <c r="AG561" s="59"/>
      <c r="AH561" s="59" t="s">
        <v>1635</v>
      </c>
    </row>
    <row r="562" spans="22:34" x14ac:dyDescent="0.25">
      <c r="V562" s="59" t="s">
        <v>629</v>
      </c>
      <c r="W562" s="46">
        <v>0.21</v>
      </c>
      <c r="X562" s="46">
        <v>0.05</v>
      </c>
      <c r="Y562" s="46">
        <v>0.64</v>
      </c>
      <c r="Z562" s="46">
        <v>0</v>
      </c>
      <c r="AA562" s="46">
        <v>0.1</v>
      </c>
      <c r="AB562" s="46">
        <v>2.35E-2</v>
      </c>
      <c r="AC562" s="46">
        <v>0.64</v>
      </c>
      <c r="AD562" s="46">
        <v>3.3599999999999998E-2</v>
      </c>
      <c r="AE562" s="46">
        <v>0.36</v>
      </c>
      <c r="AF562" s="59" t="s">
        <v>1576</v>
      </c>
      <c r="AG562" s="59"/>
      <c r="AH562" s="59" t="s">
        <v>1635</v>
      </c>
    </row>
    <row r="563" spans="22:34" x14ac:dyDescent="0.25">
      <c r="V563" s="59" t="s">
        <v>667</v>
      </c>
      <c r="W563" s="46">
        <v>0.63200000000000001</v>
      </c>
      <c r="X563" s="46">
        <v>0.11900000000000001</v>
      </c>
      <c r="Y563" s="46">
        <v>6.8999999999999992E-2</v>
      </c>
      <c r="Z563" s="46">
        <v>0</v>
      </c>
      <c r="AA563" s="46">
        <v>0.18</v>
      </c>
      <c r="AB563" s="46">
        <v>3.3000000000000002E-2</v>
      </c>
      <c r="AC563" s="46">
        <v>6.2999999999999973E-2</v>
      </c>
      <c r="AD563" s="46">
        <v>0.10112</v>
      </c>
      <c r="AE563" s="46">
        <v>0.93700000000000006</v>
      </c>
      <c r="AF563" s="59" t="s">
        <v>1576</v>
      </c>
      <c r="AG563" s="59"/>
      <c r="AH563" s="59" t="s">
        <v>1635</v>
      </c>
    </row>
    <row r="564" spans="22:34" x14ac:dyDescent="0.25">
      <c r="V564" s="59" t="s">
        <v>952</v>
      </c>
      <c r="W564" s="46">
        <v>0</v>
      </c>
      <c r="X564" s="46">
        <v>0</v>
      </c>
      <c r="Y564" s="46">
        <v>0.95200000000000007</v>
      </c>
      <c r="Z564" s="46">
        <v>0</v>
      </c>
      <c r="AA564" s="46">
        <v>4.8000000000000001E-2</v>
      </c>
      <c r="AB564" s="46">
        <v>2.5000000000000001E-2</v>
      </c>
      <c r="AC564" s="46">
        <v>0.02</v>
      </c>
      <c r="AD564" s="46">
        <v>0</v>
      </c>
      <c r="AE564" s="46">
        <v>0.98</v>
      </c>
      <c r="AF564" s="59" t="s">
        <v>1576</v>
      </c>
      <c r="AG564" s="59"/>
      <c r="AH564" s="59" t="s">
        <v>1635</v>
      </c>
    </row>
    <row r="565" spans="22:34" x14ac:dyDescent="0.25">
      <c r="V565" s="59" t="s">
        <v>956</v>
      </c>
      <c r="W565" s="46">
        <v>0</v>
      </c>
      <c r="X565" s="46">
        <v>0</v>
      </c>
      <c r="Y565" s="46">
        <v>0.95</v>
      </c>
      <c r="Z565" s="46">
        <v>0</v>
      </c>
      <c r="AA565" s="46">
        <v>0.05</v>
      </c>
      <c r="AB565" s="46">
        <v>0</v>
      </c>
      <c r="AC565" s="46">
        <v>0.02</v>
      </c>
      <c r="AD565" s="46">
        <v>0</v>
      </c>
      <c r="AE565" s="46">
        <v>0.98</v>
      </c>
      <c r="AF565" s="59" t="s">
        <v>1576</v>
      </c>
      <c r="AG565" s="59"/>
      <c r="AH565" s="59" t="s">
        <v>1635</v>
      </c>
    </row>
    <row r="566" spans="22:34" x14ac:dyDescent="0.25">
      <c r="V566" s="59" t="s">
        <v>1614</v>
      </c>
      <c r="W566" s="46">
        <v>0.14599999999999999</v>
      </c>
      <c r="X566" s="46">
        <v>2.7999999999999997E-2</v>
      </c>
      <c r="Y566" s="46">
        <v>0.79300000000000015</v>
      </c>
      <c r="Z566" s="46">
        <v>6.5000000000000002E-2</v>
      </c>
      <c r="AA566" s="46">
        <v>3.3000000000000002E-2</v>
      </c>
      <c r="AB566" s="46">
        <v>1.04E-2</v>
      </c>
      <c r="AC566" s="46">
        <v>0.1</v>
      </c>
      <c r="AD566" s="46">
        <v>2.3359999999999999E-2</v>
      </c>
      <c r="AE566" s="46">
        <v>0.9</v>
      </c>
      <c r="AF566" s="59" t="s">
        <v>1576</v>
      </c>
      <c r="AG566" s="59"/>
      <c r="AH566" s="59" t="s">
        <v>1635</v>
      </c>
    </row>
    <row r="567" spans="22:34" x14ac:dyDescent="0.25">
      <c r="V567" s="59" t="s">
        <v>1615</v>
      </c>
      <c r="W567" s="46">
        <v>0.154</v>
      </c>
      <c r="X567" s="46">
        <v>2.8999999999999998E-2</v>
      </c>
      <c r="Y567" s="46">
        <v>0.78399999999999992</v>
      </c>
      <c r="Z567" s="46">
        <v>6.8000000000000005E-2</v>
      </c>
      <c r="AA567" s="46">
        <v>3.3000000000000002E-2</v>
      </c>
      <c r="AB567" s="46">
        <v>1.04E-2</v>
      </c>
      <c r="AC567" s="46">
        <v>0.1</v>
      </c>
      <c r="AD567" s="46">
        <v>2.4639999999999999E-2</v>
      </c>
      <c r="AE567" s="46">
        <v>0.9</v>
      </c>
      <c r="AF567" s="59" t="s">
        <v>1576</v>
      </c>
      <c r="AG567" s="59"/>
      <c r="AH567" s="59" t="s">
        <v>1635</v>
      </c>
    </row>
    <row r="568" spans="22:34" x14ac:dyDescent="0.25">
      <c r="V568" s="59" t="s">
        <v>1616</v>
      </c>
      <c r="W568" s="46">
        <v>0.154</v>
      </c>
      <c r="X568" s="46">
        <v>2.8999999999999998E-2</v>
      </c>
      <c r="Y568" s="46">
        <v>0.78399999999999992</v>
      </c>
      <c r="Z568" s="46">
        <v>6.8000000000000005E-2</v>
      </c>
      <c r="AA568" s="46">
        <v>3.3000000000000002E-2</v>
      </c>
      <c r="AB568" s="46">
        <v>1.04E-2</v>
      </c>
      <c r="AC568" s="46">
        <v>0.1</v>
      </c>
      <c r="AD568" s="46">
        <v>2.4639999999999999E-2</v>
      </c>
      <c r="AE568" s="46">
        <v>0.9</v>
      </c>
      <c r="AF568" s="59" t="s">
        <v>1576</v>
      </c>
      <c r="AG568" s="59"/>
      <c r="AH568" s="59" t="s">
        <v>1635</v>
      </c>
    </row>
    <row r="569" spans="22:34" x14ac:dyDescent="0.25">
      <c r="V569" s="59" t="s">
        <v>1617</v>
      </c>
      <c r="W569" s="46">
        <v>0.13900000000000001</v>
      </c>
      <c r="X569" s="46">
        <v>2.6000000000000002E-2</v>
      </c>
      <c r="Y569" s="46">
        <v>0.80200000000000005</v>
      </c>
      <c r="Z569" s="46">
        <v>0.06</v>
      </c>
      <c r="AA569" s="46">
        <v>3.3000000000000002E-2</v>
      </c>
      <c r="AB569" s="46">
        <v>1.04E-2</v>
      </c>
      <c r="AC569" s="46">
        <v>0.1</v>
      </c>
      <c r="AD569" s="46">
        <v>2.2240000000000003E-2</v>
      </c>
      <c r="AE569" s="46">
        <v>0.9</v>
      </c>
      <c r="AF569" s="59" t="s">
        <v>1576</v>
      </c>
      <c r="AG569" s="59"/>
      <c r="AH569" s="59" t="s">
        <v>1635</v>
      </c>
    </row>
    <row r="570" spans="22:34" x14ac:dyDescent="0.25">
      <c r="V570" s="59" t="s">
        <v>1618</v>
      </c>
      <c r="W570" s="46">
        <v>0.14199999999999999</v>
      </c>
      <c r="X570" s="46">
        <v>2.7000000000000003E-2</v>
      </c>
      <c r="Y570" s="46">
        <v>0.79799999999999993</v>
      </c>
      <c r="Z570" s="46">
        <v>0.06</v>
      </c>
      <c r="AA570" s="46">
        <v>3.3000000000000002E-2</v>
      </c>
      <c r="AB570" s="46">
        <v>1.04E-2</v>
      </c>
      <c r="AC570" s="46">
        <v>0.1</v>
      </c>
      <c r="AD570" s="46">
        <v>2.2719999999999997E-2</v>
      </c>
      <c r="AE570" s="46">
        <v>0.9</v>
      </c>
      <c r="AF570" s="59" t="s">
        <v>1576</v>
      </c>
      <c r="AG570" s="59"/>
      <c r="AH570" s="59" t="s">
        <v>1635</v>
      </c>
    </row>
    <row r="571" spans="22:34" x14ac:dyDescent="0.25">
      <c r="V571" s="59" t="s">
        <v>1619</v>
      </c>
      <c r="W571" s="46">
        <v>0.14199999999999999</v>
      </c>
      <c r="X571" s="46">
        <v>2.7000000000000003E-2</v>
      </c>
      <c r="Y571" s="46">
        <v>0.79799999999999993</v>
      </c>
      <c r="Z571" s="46">
        <v>0.06</v>
      </c>
      <c r="AA571" s="46">
        <v>3.3000000000000002E-2</v>
      </c>
      <c r="AB571" s="46">
        <v>1.04E-2</v>
      </c>
      <c r="AC571" s="46">
        <v>0.1</v>
      </c>
      <c r="AD571" s="46">
        <v>2.2719999999999997E-2</v>
      </c>
      <c r="AE571" s="46">
        <v>0.9</v>
      </c>
      <c r="AF571" s="59" t="s">
        <v>1576</v>
      </c>
      <c r="AG571" s="59"/>
      <c r="AH571" s="59" t="s">
        <v>1635</v>
      </c>
    </row>
    <row r="572" spans="22:34" x14ac:dyDescent="0.25">
      <c r="V572" s="59" t="s">
        <v>1620</v>
      </c>
      <c r="W572" s="46">
        <v>0.126</v>
      </c>
      <c r="X572" s="46">
        <v>2.4E-2</v>
      </c>
      <c r="Y572" s="46">
        <v>0.82099999999999995</v>
      </c>
      <c r="Z572" s="46">
        <v>5.5999999999999994E-2</v>
      </c>
      <c r="AA572" s="46">
        <v>2.8999999999999998E-2</v>
      </c>
      <c r="AB572" s="46">
        <v>1.04E-2</v>
      </c>
      <c r="AC572" s="46">
        <v>0.1</v>
      </c>
      <c r="AD572" s="46">
        <v>2.0160000000000001E-2</v>
      </c>
      <c r="AE572" s="46">
        <v>0.9</v>
      </c>
      <c r="AF572" s="59" t="s">
        <v>1576</v>
      </c>
      <c r="AG572" s="59"/>
      <c r="AH572" s="59" t="s">
        <v>1635</v>
      </c>
    </row>
    <row r="573" spans="22:34" x14ac:dyDescent="0.25">
      <c r="V573" s="59" t="s">
        <v>1621</v>
      </c>
      <c r="W573" s="46">
        <v>0.14499999999999999</v>
      </c>
      <c r="X573" s="46">
        <v>2.7999999999999997E-2</v>
      </c>
      <c r="Y573" s="46">
        <v>0.79400000000000004</v>
      </c>
      <c r="Z573" s="46">
        <v>6.4000000000000001E-2</v>
      </c>
      <c r="AA573" s="46">
        <v>3.3000000000000002E-2</v>
      </c>
      <c r="AB573" s="46">
        <v>1.04E-2</v>
      </c>
      <c r="AC573" s="46">
        <v>0.1</v>
      </c>
      <c r="AD573" s="46">
        <v>2.3199999999999998E-2</v>
      </c>
      <c r="AE573" s="46">
        <v>0.9</v>
      </c>
      <c r="AF573" s="59" t="s">
        <v>1576</v>
      </c>
      <c r="AG573" s="59"/>
      <c r="AH573" s="59" t="s">
        <v>1635</v>
      </c>
    </row>
    <row r="574" spans="22:34" x14ac:dyDescent="0.25">
      <c r="V574" s="59" t="s">
        <v>1622</v>
      </c>
      <c r="W574" s="46">
        <v>0.14899999999999999</v>
      </c>
      <c r="X574" s="46">
        <v>2.7999999999999997E-2</v>
      </c>
      <c r="Y574" s="46">
        <v>0.79</v>
      </c>
      <c r="Z574" s="46">
        <v>6.6000000000000003E-2</v>
      </c>
      <c r="AA574" s="46">
        <v>3.3000000000000002E-2</v>
      </c>
      <c r="AB574" s="46">
        <v>1.04E-2</v>
      </c>
      <c r="AC574" s="46">
        <v>0.1</v>
      </c>
      <c r="AD574" s="46">
        <v>2.384E-2</v>
      </c>
      <c r="AE574" s="46">
        <v>0.9</v>
      </c>
      <c r="AF574" s="59" t="s">
        <v>1576</v>
      </c>
      <c r="AG574" s="59"/>
      <c r="AH574" s="59" t="s">
        <v>1635</v>
      </c>
    </row>
    <row r="575" spans="22:34" x14ac:dyDescent="0.25">
      <c r="V575" s="59" t="s">
        <v>1623</v>
      </c>
      <c r="W575" s="46">
        <v>0.14899999999999999</v>
      </c>
      <c r="X575" s="46">
        <v>2.7999999999999997E-2</v>
      </c>
      <c r="Y575" s="46">
        <v>0.79</v>
      </c>
      <c r="Z575" s="46">
        <v>6.6000000000000003E-2</v>
      </c>
      <c r="AA575" s="46">
        <v>3.3000000000000002E-2</v>
      </c>
      <c r="AB575" s="46">
        <v>1.04E-2</v>
      </c>
      <c r="AC575" s="46">
        <v>0.1</v>
      </c>
      <c r="AD575" s="46">
        <v>2.384E-2</v>
      </c>
      <c r="AE575" s="46">
        <v>0.9</v>
      </c>
      <c r="AF575" s="59" t="s">
        <v>1576</v>
      </c>
      <c r="AG575" s="59"/>
      <c r="AH575" s="59" t="s">
        <v>1635</v>
      </c>
    </row>
    <row r="576" spans="22:34" x14ac:dyDescent="0.25">
      <c r="V576" s="59" t="s">
        <v>1624</v>
      </c>
      <c r="W576" s="46">
        <v>0.14699999999999999</v>
      </c>
      <c r="X576" s="46">
        <v>2.7999999999999997E-2</v>
      </c>
      <c r="Y576" s="46">
        <v>0.79200000000000004</v>
      </c>
      <c r="Z576" s="46">
        <v>6.5000000000000002E-2</v>
      </c>
      <c r="AA576" s="46">
        <v>3.3000000000000002E-2</v>
      </c>
      <c r="AB576" s="46">
        <v>1.04E-2</v>
      </c>
      <c r="AC576" s="46">
        <v>0.1</v>
      </c>
      <c r="AD576" s="46">
        <v>2.3519999999999999E-2</v>
      </c>
      <c r="AE576" s="46">
        <v>0.9</v>
      </c>
      <c r="AF576" s="59" t="s">
        <v>1576</v>
      </c>
      <c r="AG576" s="59"/>
      <c r="AH576" s="59" t="s">
        <v>1635</v>
      </c>
    </row>
    <row r="577" spans="22:34" x14ac:dyDescent="0.25">
      <c r="V577" s="59" t="s">
        <v>1625</v>
      </c>
      <c r="W577" s="46">
        <v>0.13300000000000001</v>
      </c>
      <c r="X577" s="46">
        <v>2.5000000000000001E-2</v>
      </c>
      <c r="Y577" s="46">
        <v>0.80900000000000005</v>
      </c>
      <c r="Z577" s="46">
        <v>0.06</v>
      </c>
      <c r="AA577" s="46">
        <v>3.3000000000000002E-2</v>
      </c>
      <c r="AB577" s="46">
        <v>1.04E-2</v>
      </c>
      <c r="AC577" s="46">
        <v>0.1</v>
      </c>
      <c r="AD577" s="46">
        <v>2.128E-2</v>
      </c>
      <c r="AE577" s="46">
        <v>0.9</v>
      </c>
      <c r="AF577" s="59" t="s">
        <v>1576</v>
      </c>
      <c r="AG577" s="59"/>
      <c r="AH577" s="59" t="s">
        <v>1635</v>
      </c>
    </row>
    <row r="578" spans="22:34" x14ac:dyDescent="0.25">
      <c r="V578" s="59" t="s">
        <v>1626</v>
      </c>
      <c r="W578" s="46">
        <v>0.13600000000000001</v>
      </c>
      <c r="X578" s="46">
        <v>2.6000000000000002E-2</v>
      </c>
      <c r="Y578" s="46">
        <v>0.80500000000000016</v>
      </c>
      <c r="Z578" s="46">
        <v>0.06</v>
      </c>
      <c r="AA578" s="46">
        <v>3.3000000000000002E-2</v>
      </c>
      <c r="AB578" s="46">
        <v>1.04E-2</v>
      </c>
      <c r="AC578" s="46">
        <v>0.1</v>
      </c>
      <c r="AD578" s="46">
        <v>2.1760000000000002E-2</v>
      </c>
      <c r="AE578" s="46">
        <v>0.9</v>
      </c>
      <c r="AF578" s="59" t="s">
        <v>1576</v>
      </c>
      <c r="AG578" s="59"/>
      <c r="AH578" s="59" t="s">
        <v>1635</v>
      </c>
    </row>
    <row r="579" spans="22:34" x14ac:dyDescent="0.25">
      <c r="V579" s="59" t="s">
        <v>1627</v>
      </c>
      <c r="W579" s="46">
        <v>0.13500000000000001</v>
      </c>
      <c r="X579" s="46">
        <v>2.6000000000000002E-2</v>
      </c>
      <c r="Y579" s="46">
        <v>0.80600000000000005</v>
      </c>
      <c r="Z579" s="46">
        <v>0.06</v>
      </c>
      <c r="AA579" s="46">
        <v>3.3000000000000002E-2</v>
      </c>
      <c r="AB579" s="46">
        <v>1.04E-2</v>
      </c>
      <c r="AC579" s="46">
        <v>0.1</v>
      </c>
      <c r="AD579" s="46">
        <v>2.1600000000000001E-2</v>
      </c>
      <c r="AE579" s="46">
        <v>0.9</v>
      </c>
      <c r="AF579" s="59" t="s">
        <v>1576</v>
      </c>
      <c r="AG579" s="59"/>
      <c r="AH579" s="59" t="s">
        <v>1635</v>
      </c>
    </row>
    <row r="580" spans="22:34" x14ac:dyDescent="0.25">
      <c r="V580" s="59" t="s">
        <v>1628</v>
      </c>
      <c r="W580" s="46">
        <v>0.13300000000000001</v>
      </c>
      <c r="X580" s="46">
        <v>2.5000000000000001E-2</v>
      </c>
      <c r="Y580" s="46">
        <v>0.80900000000000005</v>
      </c>
      <c r="Z580" s="46">
        <v>0.06</v>
      </c>
      <c r="AA580" s="46">
        <v>3.3000000000000002E-2</v>
      </c>
      <c r="AB580" s="46">
        <v>1.04E-2</v>
      </c>
      <c r="AC580" s="46">
        <v>0.1</v>
      </c>
      <c r="AD580" s="46">
        <v>2.128E-2</v>
      </c>
      <c r="AE580" s="46">
        <v>0.9</v>
      </c>
      <c r="AF580" s="59" t="s">
        <v>1576</v>
      </c>
      <c r="AG580" s="59"/>
      <c r="AH580" s="59" t="s">
        <v>1635</v>
      </c>
    </row>
    <row r="581" spans="22:34" x14ac:dyDescent="0.25">
      <c r="V581" s="59" t="s">
        <v>949</v>
      </c>
      <c r="W581" s="46">
        <v>0.126</v>
      </c>
      <c r="X581" s="46">
        <v>2.4E-2</v>
      </c>
      <c r="Y581" s="46">
        <v>0.82099999999999995</v>
      </c>
      <c r="Z581" s="46">
        <v>5.5999999999999994E-2</v>
      </c>
      <c r="AA581" s="46">
        <v>2.8999999999999998E-2</v>
      </c>
      <c r="AB581" s="46">
        <v>1.04E-2</v>
      </c>
      <c r="AC581" s="46">
        <v>0.02</v>
      </c>
      <c r="AD581" s="46">
        <v>2.0160000000000001E-2</v>
      </c>
      <c r="AE581" s="46">
        <v>0.98</v>
      </c>
      <c r="AF581" s="59" t="s">
        <v>1576</v>
      </c>
      <c r="AG581" s="59"/>
      <c r="AH581" s="59" t="s">
        <v>1635</v>
      </c>
    </row>
    <row r="582" spans="22:34" x14ac:dyDescent="0.25">
      <c r="V582" s="59" t="s">
        <v>948</v>
      </c>
      <c r="W582" s="46">
        <v>0.126</v>
      </c>
      <c r="X582" s="46">
        <v>2.4E-2</v>
      </c>
      <c r="Y582" s="46">
        <v>0.82099999999999995</v>
      </c>
      <c r="Z582" s="46">
        <v>5.5999999999999994E-2</v>
      </c>
      <c r="AA582" s="46">
        <v>2.8999999999999998E-2</v>
      </c>
      <c r="AB582" s="46">
        <v>1.04E-2</v>
      </c>
      <c r="AC582" s="46">
        <v>0.08</v>
      </c>
      <c r="AD582" s="46">
        <v>2.0160000000000001E-2</v>
      </c>
      <c r="AE582" s="46">
        <v>0.92</v>
      </c>
      <c r="AF582" s="59" t="s">
        <v>1576</v>
      </c>
      <c r="AG582" s="59"/>
      <c r="AH582" s="59" t="s">
        <v>1635</v>
      </c>
    </row>
    <row r="583" spans="22:34" x14ac:dyDescent="0.25">
      <c r="V583" s="59" t="s">
        <v>947</v>
      </c>
      <c r="W583" s="46">
        <v>0.126</v>
      </c>
      <c r="X583" s="46">
        <v>2.4E-2</v>
      </c>
      <c r="Y583" s="46">
        <v>0.82099999999999995</v>
      </c>
      <c r="Z583" s="46">
        <v>5.5999999999999994E-2</v>
      </c>
      <c r="AA583" s="46">
        <v>2.8999999999999998E-2</v>
      </c>
      <c r="AB583" s="46">
        <v>1.04E-2</v>
      </c>
      <c r="AC583" s="46">
        <v>0.02</v>
      </c>
      <c r="AD583" s="46">
        <v>2.0160000000000001E-2</v>
      </c>
      <c r="AE583" s="46">
        <v>0.98</v>
      </c>
      <c r="AF583" s="59" t="s">
        <v>1576</v>
      </c>
      <c r="AG583" s="59"/>
      <c r="AH583" s="59" t="s">
        <v>1635</v>
      </c>
    </row>
    <row r="584" spans="22:34" x14ac:dyDescent="0.25">
      <c r="V584" s="59" t="s">
        <v>1629</v>
      </c>
      <c r="W584" s="46">
        <v>0.126</v>
      </c>
      <c r="X584" s="46">
        <v>2.4E-2</v>
      </c>
      <c r="Y584" s="46">
        <v>0.82099999999999995</v>
      </c>
      <c r="Z584" s="46">
        <v>5.5999999999999994E-2</v>
      </c>
      <c r="AA584" s="46">
        <v>2.8999999999999998E-2</v>
      </c>
      <c r="AB584" s="46">
        <v>1.04E-2</v>
      </c>
      <c r="AC584" s="46">
        <v>0.02</v>
      </c>
      <c r="AD584" s="46">
        <v>2.0160000000000001E-2</v>
      </c>
      <c r="AE584" s="46">
        <v>0.98</v>
      </c>
      <c r="AF584" s="59" t="s">
        <v>1576</v>
      </c>
      <c r="AG584" s="59"/>
      <c r="AH584" s="59" t="s">
        <v>1635</v>
      </c>
    </row>
    <row r="585" spans="22:34" x14ac:dyDescent="0.25">
      <c r="V585" s="59" t="s">
        <v>1630</v>
      </c>
      <c r="W585" s="46">
        <v>0.126</v>
      </c>
      <c r="X585" s="46">
        <v>2.4E-2</v>
      </c>
      <c r="Y585" s="46">
        <v>0.82099999999999995</v>
      </c>
      <c r="Z585" s="46">
        <v>5.5999999999999994E-2</v>
      </c>
      <c r="AA585" s="46">
        <v>2.8999999999999998E-2</v>
      </c>
      <c r="AB585" s="46">
        <v>1.04E-2</v>
      </c>
      <c r="AC585" s="46">
        <v>0.02</v>
      </c>
      <c r="AD585" s="46">
        <v>2.0160000000000001E-2</v>
      </c>
      <c r="AE585" s="46">
        <v>0.98</v>
      </c>
      <c r="AF585" s="59" t="s">
        <v>1576</v>
      </c>
      <c r="AG585" s="59"/>
      <c r="AH585" s="59" t="s">
        <v>1635</v>
      </c>
    </row>
    <row r="586" spans="22:34" x14ac:dyDescent="0.25">
      <c r="V586" s="59" t="s">
        <v>1631</v>
      </c>
      <c r="W586" s="46">
        <v>0.126</v>
      </c>
      <c r="X586" s="46">
        <v>2.4E-2</v>
      </c>
      <c r="Y586" s="46">
        <v>0.82099999999999995</v>
      </c>
      <c r="Z586" s="46">
        <v>5.5999999999999994E-2</v>
      </c>
      <c r="AA586" s="46">
        <v>2.8999999999999998E-2</v>
      </c>
      <c r="AB586" s="46">
        <v>1.04E-2</v>
      </c>
      <c r="AC586" s="46">
        <v>0.02</v>
      </c>
      <c r="AD586" s="46">
        <v>2.0160000000000001E-2</v>
      </c>
      <c r="AE586" s="46">
        <v>0.98</v>
      </c>
      <c r="AF586" s="59" t="s">
        <v>1576</v>
      </c>
      <c r="AG586" s="59"/>
      <c r="AH586" s="59" t="s">
        <v>1635</v>
      </c>
    </row>
    <row r="587" spans="22:34" x14ac:dyDescent="0.25">
      <c r="V587" s="59" t="s">
        <v>1632</v>
      </c>
      <c r="W587" s="46">
        <v>0.126</v>
      </c>
      <c r="X587" s="46">
        <v>2.4E-2</v>
      </c>
      <c r="Y587" s="46">
        <v>0.82099999999999995</v>
      </c>
      <c r="Z587" s="46">
        <v>5.5999999999999994E-2</v>
      </c>
      <c r="AA587" s="46">
        <v>2.8999999999999998E-2</v>
      </c>
      <c r="AB587" s="46">
        <v>1.04E-2</v>
      </c>
      <c r="AC587" s="46">
        <v>0.02</v>
      </c>
      <c r="AD587" s="46">
        <v>2.0160000000000001E-2</v>
      </c>
      <c r="AE587" s="46">
        <v>0.98</v>
      </c>
      <c r="AF587" s="59" t="s">
        <v>1576</v>
      </c>
      <c r="AG587" s="59"/>
      <c r="AH587" s="59" t="s">
        <v>1635</v>
      </c>
    </row>
    <row r="588" spans="22:34" x14ac:dyDescent="0.25">
      <c r="V588" s="59" t="s">
        <v>1633</v>
      </c>
      <c r="W588" s="46">
        <v>0.151</v>
      </c>
      <c r="X588" s="46">
        <v>2.8999999999999998E-2</v>
      </c>
      <c r="Y588" s="46">
        <v>0.78700000000000003</v>
      </c>
      <c r="Z588" s="46">
        <v>6.6000000000000003E-2</v>
      </c>
      <c r="AA588" s="46">
        <v>3.3000000000000002E-2</v>
      </c>
      <c r="AB588" s="46">
        <v>1.04E-2</v>
      </c>
      <c r="AC588" s="46">
        <v>0.1</v>
      </c>
      <c r="AD588" s="46">
        <v>2.4160000000000001E-2</v>
      </c>
      <c r="AE588" s="46">
        <v>0.9</v>
      </c>
      <c r="AF588" s="59" t="s">
        <v>1576</v>
      </c>
      <c r="AG588" s="59"/>
      <c r="AH588" s="59" t="s">
        <v>1635</v>
      </c>
    </row>
    <row r="589" spans="22:34" x14ac:dyDescent="0.25">
      <c r="V589" s="59" t="s">
        <v>1764</v>
      </c>
      <c r="W589" s="46">
        <v>0.105</v>
      </c>
      <c r="X589" s="46">
        <v>1.4999999999999999E-2</v>
      </c>
      <c r="Y589" s="46">
        <v>0.80599999999999994</v>
      </c>
      <c r="Z589" s="46">
        <v>0.124</v>
      </c>
      <c r="AA589" s="46">
        <v>7.400000000000001E-2</v>
      </c>
      <c r="AB589" s="46">
        <v>7.4000000000000003E-3</v>
      </c>
      <c r="AC589" s="46">
        <v>9.4000000000000056E-2</v>
      </c>
      <c r="AD589" s="46">
        <v>1.6799999999999999E-2</v>
      </c>
      <c r="AE589" s="46">
        <v>0.90599999999999992</v>
      </c>
      <c r="AF589" s="59" t="s">
        <v>526</v>
      </c>
      <c r="AG589" s="59"/>
      <c r="AH589" s="59" t="s">
        <v>1635</v>
      </c>
    </row>
    <row r="590" spans="22:34" x14ac:dyDescent="0.25">
      <c r="V590" s="59" t="s">
        <v>872</v>
      </c>
      <c r="W590" s="46">
        <v>0.17300000000000001</v>
      </c>
      <c r="X590" s="46">
        <v>3.9E-2</v>
      </c>
      <c r="Y590" s="46">
        <v>0.73199999999999998</v>
      </c>
      <c r="Z590" s="46">
        <v>0.10400000000000001</v>
      </c>
      <c r="AA590" s="46">
        <v>5.5999999999999994E-2</v>
      </c>
      <c r="AB590" s="46">
        <v>1.11E-2</v>
      </c>
      <c r="AC590" s="46">
        <v>0.12700000000000003</v>
      </c>
      <c r="AD590" s="46">
        <v>2.7680000000000003E-2</v>
      </c>
      <c r="AE590" s="46">
        <v>0.873</v>
      </c>
      <c r="AF590" s="59" t="s">
        <v>1576</v>
      </c>
      <c r="AG590" s="59"/>
      <c r="AH590" s="59" t="s">
        <v>1635</v>
      </c>
    </row>
    <row r="591" spans="22:34" x14ac:dyDescent="0.25">
      <c r="V591" s="59" t="s">
        <v>872</v>
      </c>
      <c r="W591" s="46">
        <v>0.156</v>
      </c>
      <c r="X591" s="46">
        <v>6.5000000000000002E-2</v>
      </c>
      <c r="Y591" s="46">
        <v>0.73499999999999999</v>
      </c>
      <c r="Z591" s="46">
        <v>7.5699999999999934E-2</v>
      </c>
      <c r="AA591" s="46">
        <v>4.4000000000000004E-2</v>
      </c>
      <c r="AB591" s="46">
        <v>9.300000000000001E-3</v>
      </c>
      <c r="AC591" s="46">
        <v>0.12</v>
      </c>
      <c r="AD591" s="46">
        <v>2.496E-2</v>
      </c>
      <c r="AE591" s="46">
        <v>0.88</v>
      </c>
      <c r="AF591" s="59" t="s">
        <v>526</v>
      </c>
      <c r="AG591" s="59"/>
      <c r="AH591" s="59" t="s">
        <v>1635</v>
      </c>
    </row>
    <row r="592" spans="22:34" x14ac:dyDescent="0.25">
      <c r="V592" s="59" t="s">
        <v>1765</v>
      </c>
      <c r="W592" s="46">
        <v>0.155</v>
      </c>
      <c r="X592" s="46">
        <v>3.6000000000000004E-2</v>
      </c>
      <c r="Y592" s="46">
        <v>0.76600000000000013</v>
      </c>
      <c r="Z592" s="46">
        <v>0.36130000000000001</v>
      </c>
      <c r="AA592" s="46">
        <v>4.2999999999999997E-2</v>
      </c>
      <c r="AB592" s="46">
        <v>8.6999999999999994E-3</v>
      </c>
      <c r="AC592" s="46">
        <v>0.11900000000000005</v>
      </c>
      <c r="AD592" s="46">
        <v>2.4799999999999999E-2</v>
      </c>
      <c r="AE592" s="46">
        <v>0.88099999999999989</v>
      </c>
      <c r="AF592" s="59" t="s">
        <v>526</v>
      </c>
      <c r="AG592" s="59"/>
      <c r="AH592" s="59" t="s">
        <v>1635</v>
      </c>
    </row>
    <row r="593" spans="22:34" x14ac:dyDescent="0.25">
      <c r="V593" s="59" t="s">
        <v>1766</v>
      </c>
      <c r="W593" s="46">
        <v>0.16399999999999998</v>
      </c>
      <c r="X593" s="46">
        <v>4.8000000000000001E-2</v>
      </c>
      <c r="Y593" s="46">
        <v>0.748</v>
      </c>
      <c r="Z593" s="46">
        <v>7.2999999999999968E-2</v>
      </c>
      <c r="AA593" s="46">
        <v>0.04</v>
      </c>
      <c r="AB593" s="46">
        <v>9.0000000000000011E-3</v>
      </c>
      <c r="AC593" s="46">
        <v>0.12</v>
      </c>
      <c r="AD593" s="46">
        <v>2.6239999999999996E-2</v>
      </c>
      <c r="AE593" s="46">
        <v>0.88</v>
      </c>
      <c r="AF593" s="59" t="s">
        <v>526</v>
      </c>
      <c r="AG593" s="59"/>
      <c r="AH593" s="59" t="s">
        <v>1635</v>
      </c>
    </row>
    <row r="594" spans="22:34" x14ac:dyDescent="0.25">
      <c r="V594" s="59" t="s">
        <v>873</v>
      </c>
      <c r="W594" s="46">
        <v>0.29499999999999998</v>
      </c>
      <c r="X594" s="46">
        <v>9.6999999999999989E-2</v>
      </c>
      <c r="Y594" s="46">
        <v>0.56099999999999994</v>
      </c>
      <c r="Z594" s="46">
        <v>0.04</v>
      </c>
      <c r="AA594" s="46">
        <v>4.7E-2</v>
      </c>
      <c r="AB594" s="46">
        <v>1.09E-2</v>
      </c>
      <c r="AC594" s="46">
        <v>0.11299999999999998</v>
      </c>
      <c r="AD594" s="46">
        <v>4.7199999999999999E-2</v>
      </c>
      <c r="AE594" s="46">
        <v>0.88700000000000001</v>
      </c>
      <c r="AF594" s="59" t="s">
        <v>1576</v>
      </c>
      <c r="AG594" s="59"/>
      <c r="AH594" s="59" t="s">
        <v>1635</v>
      </c>
    </row>
    <row r="595" spans="22:34" x14ac:dyDescent="0.25">
      <c r="V595" s="59" t="s">
        <v>1767</v>
      </c>
      <c r="W595" s="46">
        <v>0.79</v>
      </c>
      <c r="X595" s="46">
        <v>0.05</v>
      </c>
      <c r="Y595" s="46">
        <v>0.16</v>
      </c>
      <c r="Z595" s="46">
        <v>0</v>
      </c>
      <c r="AA595" s="46">
        <v>0</v>
      </c>
      <c r="AB595" s="46">
        <v>0</v>
      </c>
      <c r="AC595" s="46">
        <v>0.06</v>
      </c>
      <c r="AD595" s="46">
        <v>0.12640000000000001</v>
      </c>
      <c r="AE595" s="46">
        <v>0.94</v>
      </c>
      <c r="AF595" s="59" t="s">
        <v>526</v>
      </c>
      <c r="AG595" s="59"/>
      <c r="AH595" s="59" t="s">
        <v>1635</v>
      </c>
    </row>
    <row r="596" spans="22:34" x14ac:dyDescent="0.25">
      <c r="V596" s="59" t="s">
        <v>874</v>
      </c>
      <c r="W596" s="46">
        <v>0.78200000000000003</v>
      </c>
      <c r="X596" s="46">
        <v>2.4E-2</v>
      </c>
      <c r="Y596" s="46">
        <v>0.187</v>
      </c>
      <c r="Z596" s="46">
        <v>4.0000000000000001E-3</v>
      </c>
      <c r="AA596" s="46">
        <v>6.9999999999999993E-3</v>
      </c>
      <c r="AB596" s="46">
        <v>2.3999999999999998E-3</v>
      </c>
      <c r="AC596" s="46">
        <v>9.2999999999999972E-2</v>
      </c>
      <c r="AD596" s="46">
        <v>0.12512000000000001</v>
      </c>
      <c r="AE596" s="46">
        <v>0.90700000000000003</v>
      </c>
      <c r="AF596" s="59" t="s">
        <v>1576</v>
      </c>
      <c r="AG596" s="59"/>
      <c r="AH596" s="59" t="s">
        <v>1635</v>
      </c>
    </row>
    <row r="597" spans="22:34" x14ac:dyDescent="0.25">
      <c r="V597" s="59" t="s">
        <v>875</v>
      </c>
      <c r="W597" s="46">
        <v>0.158</v>
      </c>
      <c r="X597" s="46">
        <v>0.03</v>
      </c>
      <c r="Y597" s="46">
        <v>0.77600000000000013</v>
      </c>
      <c r="Z597" s="46">
        <v>7.0000000000000007E-2</v>
      </c>
      <c r="AA597" s="46">
        <v>3.6000000000000004E-2</v>
      </c>
      <c r="AB597" s="46">
        <v>1.3100000000000001E-2</v>
      </c>
      <c r="AC597" s="46">
        <v>0.1</v>
      </c>
      <c r="AD597" s="46">
        <v>2.528E-2</v>
      </c>
      <c r="AE597" s="46">
        <v>0.9</v>
      </c>
      <c r="AF597" s="59" t="s">
        <v>1576</v>
      </c>
      <c r="AG597" s="59"/>
      <c r="AH597" s="59" t="s">
        <v>1635</v>
      </c>
    </row>
    <row r="598" spans="22:34" x14ac:dyDescent="0.25">
      <c r="V598" s="59" t="s">
        <v>884</v>
      </c>
      <c r="W598" s="46">
        <v>0.161</v>
      </c>
      <c r="X598" s="46">
        <v>0.04</v>
      </c>
      <c r="Y598" s="46">
        <v>0.76300000000000012</v>
      </c>
      <c r="Z598" s="46">
        <v>7.0000000000000007E-2</v>
      </c>
      <c r="AA598" s="46">
        <v>3.6000000000000004E-2</v>
      </c>
      <c r="AB598" s="46">
        <v>6.9999999999999993E-3</v>
      </c>
      <c r="AC598" s="46">
        <v>0.1</v>
      </c>
      <c r="AD598" s="46">
        <v>2.5760000000000002E-2</v>
      </c>
      <c r="AE598" s="46">
        <v>0.9</v>
      </c>
      <c r="AF598" s="59" t="s">
        <v>1576</v>
      </c>
      <c r="AG598" s="59"/>
      <c r="AH598" s="59" t="s">
        <v>1635</v>
      </c>
    </row>
    <row r="599" spans="22:34" x14ac:dyDescent="0.25">
      <c r="V599" s="59" t="s">
        <v>876</v>
      </c>
      <c r="W599" s="46">
        <v>0.16300000000000001</v>
      </c>
      <c r="X599" s="46">
        <v>3.3000000000000002E-2</v>
      </c>
      <c r="Y599" s="46">
        <v>0.76100000000000012</v>
      </c>
      <c r="Z599" s="46">
        <v>6.9000000000000006E-2</v>
      </c>
      <c r="AA599" s="46">
        <v>4.2999999999999997E-2</v>
      </c>
      <c r="AB599" s="46">
        <v>1.2500000000000001E-2</v>
      </c>
      <c r="AC599" s="46">
        <v>0.11799999999999997</v>
      </c>
      <c r="AD599" s="46">
        <v>2.6080000000000002E-2</v>
      </c>
      <c r="AE599" s="46">
        <v>0.88200000000000001</v>
      </c>
      <c r="AF599" s="59" t="s">
        <v>1576</v>
      </c>
      <c r="AG599" s="59"/>
      <c r="AH599" s="59" t="s">
        <v>1635</v>
      </c>
    </row>
    <row r="600" spans="22:34" x14ac:dyDescent="0.25">
      <c r="V600" s="59" t="s">
        <v>1768</v>
      </c>
      <c r="W600" s="46">
        <v>0.105</v>
      </c>
      <c r="X600" s="46">
        <v>1.4999999999999999E-2</v>
      </c>
      <c r="Y600" s="46">
        <v>0.8640000000000001</v>
      </c>
      <c r="Z600" s="46">
        <v>0.12380000000000009</v>
      </c>
      <c r="AA600" s="46">
        <v>1.6E-2</v>
      </c>
      <c r="AB600" s="46">
        <v>3.2000000000000002E-3</v>
      </c>
      <c r="AC600" s="46">
        <v>0.13200000000000003</v>
      </c>
      <c r="AD600" s="46">
        <v>1.6799999999999999E-2</v>
      </c>
      <c r="AE600" s="46">
        <v>0.86799999999999999</v>
      </c>
      <c r="AF600" s="59" t="s">
        <v>526</v>
      </c>
      <c r="AG600" s="59"/>
      <c r="AH600" s="59" t="s">
        <v>1635</v>
      </c>
    </row>
    <row r="601" spans="22:34" x14ac:dyDescent="0.25">
      <c r="V601" s="59" t="s">
        <v>1769</v>
      </c>
      <c r="W601" s="46">
        <v>3.7999999999999999E-2</v>
      </c>
      <c r="X601" s="46">
        <v>1.3000000000000001E-2</v>
      </c>
      <c r="Y601" s="46">
        <v>0.89</v>
      </c>
      <c r="Z601" s="46">
        <v>0.79630000000000012</v>
      </c>
      <c r="AA601" s="46">
        <v>5.9000000000000004E-2</v>
      </c>
      <c r="AB601" s="46">
        <v>6.9999999999999988E-4</v>
      </c>
      <c r="AC601" s="46">
        <v>8.5999999999999938E-2</v>
      </c>
      <c r="AD601" s="46">
        <v>6.0799999999999995E-3</v>
      </c>
      <c r="AE601" s="46">
        <v>0.91400000000000003</v>
      </c>
      <c r="AF601" s="59" t="s">
        <v>526</v>
      </c>
      <c r="AG601" s="59"/>
      <c r="AH601" s="59" t="s">
        <v>1635</v>
      </c>
    </row>
    <row r="602" spans="22:34" x14ac:dyDescent="0.25">
      <c r="V602" s="59" t="s">
        <v>880</v>
      </c>
      <c r="W602" s="46">
        <v>0.115</v>
      </c>
      <c r="X602" s="46">
        <v>0.01</v>
      </c>
      <c r="Y602" s="46">
        <v>0.86</v>
      </c>
      <c r="Z602" s="46">
        <v>0.04</v>
      </c>
      <c r="AA602" s="46">
        <v>1.4999999999999999E-2</v>
      </c>
      <c r="AB602" s="46">
        <v>3.2000000000000002E-3</v>
      </c>
      <c r="AC602" s="46">
        <v>9.2000000000000026E-2</v>
      </c>
      <c r="AD602" s="46">
        <v>1.84E-2</v>
      </c>
      <c r="AE602" s="46">
        <v>0.90799999999999992</v>
      </c>
      <c r="AF602" s="59" t="s">
        <v>1576</v>
      </c>
      <c r="AG602" s="59"/>
      <c r="AH602" s="59" t="s">
        <v>1635</v>
      </c>
    </row>
    <row r="603" spans="22:34" x14ac:dyDescent="0.25">
      <c r="V603" s="59" t="s">
        <v>877</v>
      </c>
      <c r="W603" s="46">
        <v>0.127</v>
      </c>
      <c r="X603" s="46">
        <v>1.8000000000000002E-2</v>
      </c>
      <c r="Y603" s="46">
        <v>0.84200000000000008</v>
      </c>
      <c r="Z603" s="46">
        <v>1.3000000000000001E-2</v>
      </c>
      <c r="AA603" s="46">
        <v>1.3000000000000001E-2</v>
      </c>
      <c r="AB603" s="46">
        <v>4.0000000000000001E-3</v>
      </c>
      <c r="AC603" s="46">
        <v>0.12299999999999997</v>
      </c>
      <c r="AD603" s="46">
        <v>2.0320000000000001E-2</v>
      </c>
      <c r="AE603" s="46">
        <v>0.877</v>
      </c>
      <c r="AF603" s="59" t="s">
        <v>1576</v>
      </c>
      <c r="AG603" s="59"/>
      <c r="AH603" s="59" t="s">
        <v>1635</v>
      </c>
    </row>
    <row r="604" spans="22:34" x14ac:dyDescent="0.25">
      <c r="V604" s="59" t="s">
        <v>879</v>
      </c>
      <c r="W604" s="46">
        <v>0.13100000000000001</v>
      </c>
      <c r="X604" s="46">
        <v>2.1000000000000001E-2</v>
      </c>
      <c r="Y604" s="46">
        <v>0.82700000000000018</v>
      </c>
      <c r="Z604" s="46">
        <v>3.1E-2</v>
      </c>
      <c r="AA604" s="46">
        <v>2.1000000000000001E-2</v>
      </c>
      <c r="AB604" s="46">
        <v>3.5999999999999999E-3</v>
      </c>
      <c r="AC604" s="46">
        <v>0.115</v>
      </c>
      <c r="AD604" s="46">
        <v>2.0959999999999999E-2</v>
      </c>
      <c r="AE604" s="46">
        <v>0.88500000000000001</v>
      </c>
      <c r="AF604" s="59" t="s">
        <v>1576</v>
      </c>
      <c r="AH604" s="59" t="s">
        <v>1635</v>
      </c>
    </row>
    <row r="605" spans="22:34" x14ac:dyDescent="0.25">
      <c r="V605" s="59" t="s">
        <v>881</v>
      </c>
      <c r="W605" s="46">
        <v>0.17</v>
      </c>
      <c r="X605" s="46">
        <v>4.0999999999999995E-2</v>
      </c>
      <c r="Y605" s="46">
        <v>0.73499999999999999</v>
      </c>
      <c r="Z605" s="46">
        <v>8.5000000000000006E-2</v>
      </c>
      <c r="AA605" s="46">
        <v>5.4000000000000006E-2</v>
      </c>
      <c r="AB605" s="46">
        <v>9.1999999999999998E-3</v>
      </c>
      <c r="AC605" s="46">
        <v>0.11400000000000006</v>
      </c>
      <c r="AD605" s="46">
        <v>2.7200000000000002E-2</v>
      </c>
      <c r="AE605" s="46">
        <v>0.8859999999999999</v>
      </c>
      <c r="AF605" s="59" t="s">
        <v>1576</v>
      </c>
      <c r="AH605" s="59" t="s">
        <v>1635</v>
      </c>
    </row>
    <row r="606" spans="22:34" x14ac:dyDescent="0.25">
      <c r="V606" s="59" t="s">
        <v>882</v>
      </c>
      <c r="W606" s="46">
        <v>0.153</v>
      </c>
      <c r="X606" s="46">
        <v>3.3000000000000002E-2</v>
      </c>
      <c r="Y606" s="46">
        <v>0.79200000000000004</v>
      </c>
      <c r="Z606" s="46">
        <v>2.6000000000000002E-2</v>
      </c>
      <c r="AA606" s="46">
        <v>2.2000000000000002E-2</v>
      </c>
      <c r="AB606" s="46">
        <v>5.6999999999999993E-3</v>
      </c>
      <c r="AC606" s="46">
        <v>0.12</v>
      </c>
      <c r="AD606" s="46">
        <v>2.4479999999999998E-2</v>
      </c>
      <c r="AE606" s="46">
        <v>0.88</v>
      </c>
      <c r="AF606" s="59" t="s">
        <v>1576</v>
      </c>
      <c r="AH606" s="59" t="s">
        <v>1635</v>
      </c>
    </row>
    <row r="607" spans="22:34" x14ac:dyDescent="0.25">
      <c r="V607" s="59" t="s">
        <v>883</v>
      </c>
      <c r="W607" s="46">
        <v>0.152</v>
      </c>
      <c r="X607" s="46">
        <v>2.4E-2</v>
      </c>
      <c r="Y607" s="46">
        <v>0.7799999999999998</v>
      </c>
      <c r="Z607" s="46">
        <v>4.4000000000000004E-2</v>
      </c>
      <c r="AA607" s="46">
        <v>4.4000000000000004E-2</v>
      </c>
      <c r="AB607" s="46">
        <v>4.3E-3</v>
      </c>
      <c r="AC607" s="46">
        <v>0.11799999999999997</v>
      </c>
      <c r="AD607" s="46">
        <v>2.4319999999999998E-2</v>
      </c>
      <c r="AE607" s="46">
        <v>0.88200000000000001</v>
      </c>
      <c r="AF607" s="59" t="s">
        <v>1576</v>
      </c>
      <c r="AH607" s="59" t="s">
        <v>1635</v>
      </c>
    </row>
    <row r="608" spans="22:34" x14ac:dyDescent="0.25">
      <c r="V608" s="59" t="s">
        <v>668</v>
      </c>
      <c r="W608" s="46">
        <v>0.13699999999999998</v>
      </c>
      <c r="X608" s="46">
        <v>9.0000000000000011E-3</v>
      </c>
      <c r="Y608" s="46">
        <v>0.72999999999999987</v>
      </c>
      <c r="Z608" s="46">
        <v>0</v>
      </c>
      <c r="AA608" s="46">
        <v>0.124</v>
      </c>
      <c r="AB608" s="46">
        <v>1.0700000000000001E-2</v>
      </c>
      <c r="AC608" s="46">
        <v>5.5E-2</v>
      </c>
      <c r="AD608" s="46">
        <v>2.1919999999999999E-2</v>
      </c>
      <c r="AE608" s="46">
        <v>0.94499999999999995</v>
      </c>
      <c r="AF608" s="59" t="s">
        <v>1576</v>
      </c>
      <c r="AH608" s="59" t="s">
        <v>1635</v>
      </c>
    </row>
    <row r="609" spans="22:34" x14ac:dyDescent="0.25">
      <c r="V609" s="59" t="s">
        <v>669</v>
      </c>
      <c r="W609" s="46">
        <v>0.13600000000000001</v>
      </c>
      <c r="X609" s="46">
        <v>6.9999999999999993E-3</v>
      </c>
      <c r="Y609" s="46">
        <v>0.72900000000000009</v>
      </c>
      <c r="Z609" s="46">
        <v>1E-3</v>
      </c>
      <c r="AA609" s="46">
        <v>0.128</v>
      </c>
      <c r="AB609" s="46">
        <v>7.6E-3</v>
      </c>
      <c r="AC609" s="46">
        <v>6.2999999999999973E-2</v>
      </c>
      <c r="AD609" s="46">
        <v>2.1760000000000002E-2</v>
      </c>
      <c r="AE609" s="46">
        <v>0.93700000000000006</v>
      </c>
      <c r="AF609" s="59" t="s">
        <v>1576</v>
      </c>
      <c r="AH609" s="59" t="s">
        <v>1635</v>
      </c>
    </row>
    <row r="610" spans="22:34" x14ac:dyDescent="0.25">
      <c r="V610" s="59" t="s">
        <v>670</v>
      </c>
      <c r="W610" s="46">
        <v>0.03</v>
      </c>
      <c r="X610" s="46">
        <v>2E-3</v>
      </c>
      <c r="Y610" s="46">
        <v>0.91099999999999992</v>
      </c>
      <c r="Z610" s="46">
        <v>0</v>
      </c>
      <c r="AA610" s="46">
        <v>5.7000000000000002E-2</v>
      </c>
      <c r="AB610" s="46">
        <v>5.6999999999999993E-3</v>
      </c>
      <c r="AC610" s="46">
        <v>5.5E-2</v>
      </c>
      <c r="AD610" s="46">
        <v>4.7999999999999996E-3</v>
      </c>
      <c r="AE610" s="46">
        <v>0.94499999999999995</v>
      </c>
      <c r="AF610" s="59" t="s">
        <v>1576</v>
      </c>
      <c r="AH610" s="59" t="s">
        <v>1635</v>
      </c>
    </row>
    <row r="611" spans="22:34" x14ac:dyDescent="0.25">
      <c r="V611" s="59" t="s">
        <v>1770</v>
      </c>
      <c r="W611" s="46">
        <v>0.47100000000000003</v>
      </c>
      <c r="X611" s="46">
        <v>9.6000000000000002E-2</v>
      </c>
      <c r="Y611" s="46">
        <v>0.39899999999999997</v>
      </c>
      <c r="Z611" s="46">
        <v>0.26500000000000001</v>
      </c>
      <c r="AA611" s="46">
        <v>3.4000000000000002E-2</v>
      </c>
      <c r="AB611" s="46">
        <v>4.0000000000000001E-3</v>
      </c>
      <c r="AC611" s="46">
        <v>0.13</v>
      </c>
      <c r="AD611" s="46">
        <v>7.536000000000001E-2</v>
      </c>
      <c r="AE611" s="46">
        <v>0.87</v>
      </c>
      <c r="AF611" s="59" t="s">
        <v>526</v>
      </c>
      <c r="AH611" s="59" t="s">
        <v>1635</v>
      </c>
    </row>
    <row r="612" spans="22:34" x14ac:dyDescent="0.25">
      <c r="V612" s="59" t="s">
        <v>673</v>
      </c>
      <c r="W612" s="46">
        <v>0.47399999999999998</v>
      </c>
      <c r="X612" s="46">
        <v>0.41</v>
      </c>
      <c r="Y612" s="46">
        <v>7.9000000000000015E-2</v>
      </c>
      <c r="Z612" s="46">
        <v>0</v>
      </c>
      <c r="AA612" s="46">
        <v>3.7000000000000005E-2</v>
      </c>
      <c r="AB612" s="46">
        <v>8.3000000000000001E-3</v>
      </c>
      <c r="AC612" s="46">
        <v>3.0999999999999944E-2</v>
      </c>
      <c r="AD612" s="46">
        <v>7.5839999999999991E-2</v>
      </c>
      <c r="AE612" s="46">
        <v>0.96900000000000008</v>
      </c>
      <c r="AF612" s="59" t="s">
        <v>1576</v>
      </c>
      <c r="AH612" s="59" t="s">
        <v>1635</v>
      </c>
    </row>
    <row r="613" spans="22:34" x14ac:dyDescent="0.25">
      <c r="V613" s="59" t="s">
        <v>1771</v>
      </c>
      <c r="W613" s="46">
        <v>0.10099999999999999</v>
      </c>
      <c r="X613" s="46">
        <v>1.8000000000000002E-2</v>
      </c>
      <c r="Y613" s="46">
        <v>0.8590000000000001</v>
      </c>
      <c r="Z613" s="46">
        <v>0.20059999999999989</v>
      </c>
      <c r="AA613" s="46">
        <v>2.2000000000000002E-2</v>
      </c>
      <c r="AB613" s="46">
        <v>3.3999999999999998E-3</v>
      </c>
      <c r="AC613" s="46">
        <v>0.13299999999999998</v>
      </c>
      <c r="AD613" s="46">
        <v>1.6159999999999997E-2</v>
      </c>
      <c r="AE613" s="46">
        <v>0.86699999999999999</v>
      </c>
      <c r="AF613" s="59" t="s">
        <v>526</v>
      </c>
      <c r="AH613" s="59" t="s">
        <v>1635</v>
      </c>
    </row>
    <row r="614" spans="22:34" x14ac:dyDescent="0.25">
      <c r="V614" s="59" t="s">
        <v>1634</v>
      </c>
      <c r="W614" s="46">
        <v>0.1</v>
      </c>
      <c r="X614" s="46">
        <v>0.01</v>
      </c>
      <c r="Y614" s="46">
        <v>0.85</v>
      </c>
      <c r="Z614" s="46">
        <v>0.03</v>
      </c>
      <c r="AA614" s="46">
        <v>0.04</v>
      </c>
      <c r="AB614" s="46">
        <v>0</v>
      </c>
      <c r="AC614" s="46">
        <v>0.47799999999999998</v>
      </c>
      <c r="AD614" s="46">
        <v>1.6E-2</v>
      </c>
      <c r="AE614" s="46">
        <v>0.52200000000000002</v>
      </c>
      <c r="AF614" s="59" t="s">
        <v>1576</v>
      </c>
      <c r="AH614" s="59" t="s">
        <v>1635</v>
      </c>
    </row>
    <row r="615" spans="22:34" x14ac:dyDescent="0.25">
      <c r="V615" s="59" t="s">
        <v>891</v>
      </c>
      <c r="W615" s="46">
        <v>0.42599999999999999</v>
      </c>
      <c r="X615" s="46">
        <v>5.0000000000000001E-3</v>
      </c>
      <c r="Y615" s="46">
        <v>0.5169999999999999</v>
      </c>
      <c r="Z615" s="46">
        <v>4.2999999999999997E-2</v>
      </c>
      <c r="AA615" s="46">
        <v>5.2000000000000005E-2</v>
      </c>
      <c r="AB615" s="46">
        <v>1.21E-2</v>
      </c>
      <c r="AC615" s="46">
        <v>6.9000000000000061E-2</v>
      </c>
      <c r="AD615" s="46">
        <v>6.8159999999999998E-2</v>
      </c>
      <c r="AE615" s="46">
        <v>0.93099999999999994</v>
      </c>
      <c r="AF615" s="59" t="s">
        <v>1576</v>
      </c>
      <c r="AH615" s="59" t="s">
        <v>1635</v>
      </c>
    </row>
    <row r="616" spans="22:34" x14ac:dyDescent="0.25">
      <c r="V616" s="59" t="s">
        <v>889</v>
      </c>
      <c r="W616" s="46">
        <v>0.44299999999999995</v>
      </c>
      <c r="X616" s="46">
        <v>1.9E-2</v>
      </c>
      <c r="Y616" s="46">
        <v>0.48000000000000009</v>
      </c>
      <c r="Z616" s="46">
        <v>1.8000000000000002E-2</v>
      </c>
      <c r="AA616" s="46">
        <v>5.7999999999999996E-2</v>
      </c>
      <c r="AB616" s="46">
        <v>9.1999999999999998E-3</v>
      </c>
      <c r="AC616" s="46">
        <v>7.4999999999999997E-2</v>
      </c>
      <c r="AD616" s="46">
        <v>7.0879999999999999E-2</v>
      </c>
      <c r="AE616" s="46">
        <v>0.92500000000000004</v>
      </c>
      <c r="AF616" s="59" t="s">
        <v>1576</v>
      </c>
      <c r="AH616" s="59" t="s">
        <v>1635</v>
      </c>
    </row>
    <row r="617" spans="22:34" x14ac:dyDescent="0.25">
      <c r="V617" s="59" t="s">
        <v>890</v>
      </c>
      <c r="W617" s="46">
        <v>0.51100000000000001</v>
      </c>
      <c r="X617" s="46">
        <v>2.3E-2</v>
      </c>
      <c r="Y617" s="46">
        <v>0.40399999999999997</v>
      </c>
      <c r="Z617" s="46">
        <v>1.3000000000000001E-2</v>
      </c>
      <c r="AA617" s="46">
        <v>6.2E-2</v>
      </c>
      <c r="AB617" s="46">
        <v>1.32E-2</v>
      </c>
      <c r="AC617" s="46">
        <v>7.4999999999999997E-2</v>
      </c>
      <c r="AD617" s="46">
        <v>8.1759999999999999E-2</v>
      </c>
      <c r="AE617" s="46">
        <v>0.92500000000000004</v>
      </c>
      <c r="AF617" s="59" t="s">
        <v>1576</v>
      </c>
      <c r="AH617" s="59" t="s">
        <v>1635</v>
      </c>
    </row>
    <row r="618" spans="22:34" x14ac:dyDescent="0.25">
      <c r="V618" s="59" t="s">
        <v>888</v>
      </c>
      <c r="W618" s="46">
        <v>0.25</v>
      </c>
      <c r="X618" s="46">
        <v>0.03</v>
      </c>
      <c r="Y618" s="46">
        <v>0.68</v>
      </c>
      <c r="Z618" s="46">
        <v>5.0000000000000001E-3</v>
      </c>
      <c r="AA618" s="46">
        <v>0.04</v>
      </c>
      <c r="AB618" s="46">
        <v>4.5000000000000005E-3</v>
      </c>
      <c r="AC618" s="46">
        <v>0.06</v>
      </c>
      <c r="AD618" s="46">
        <v>0.04</v>
      </c>
      <c r="AE618" s="46">
        <v>0.94</v>
      </c>
      <c r="AF618" s="59" t="s">
        <v>1576</v>
      </c>
      <c r="AH618" s="59" t="s">
        <v>1635</v>
      </c>
    </row>
    <row r="619" spans="22:34" x14ac:dyDescent="0.25">
      <c r="V619" s="59" t="s">
        <v>895</v>
      </c>
      <c r="W619" s="46">
        <v>0.5</v>
      </c>
      <c r="X619" s="46">
        <v>5.0000000000000001E-3</v>
      </c>
      <c r="Y619" s="46">
        <v>0.34499999999999997</v>
      </c>
      <c r="Z619" s="46">
        <v>5.0000000000000001E-3</v>
      </c>
      <c r="AA619" s="46">
        <v>0.15</v>
      </c>
      <c r="AB619" s="46">
        <v>3.0299999999999997E-2</v>
      </c>
      <c r="AC619" s="46">
        <v>0.08</v>
      </c>
      <c r="AD619" s="46">
        <v>0.08</v>
      </c>
      <c r="AE619" s="46">
        <v>0.92</v>
      </c>
      <c r="AF619" s="59" t="s">
        <v>1576</v>
      </c>
      <c r="AH619" s="59" t="s">
        <v>1635</v>
      </c>
    </row>
    <row r="620" spans="22:34" x14ac:dyDescent="0.25">
      <c r="V620" s="59" t="s">
        <v>892</v>
      </c>
      <c r="W620" s="46">
        <v>0.48399999999999999</v>
      </c>
      <c r="X620" s="46">
        <v>1.9E-2</v>
      </c>
      <c r="Y620" s="46">
        <v>0.42400000000000004</v>
      </c>
      <c r="Z620" s="46">
        <v>2.1000000000000001E-2</v>
      </c>
      <c r="AA620" s="46">
        <v>7.2999999999999995E-2</v>
      </c>
      <c r="AB620" s="46">
        <v>1.0700000000000001E-2</v>
      </c>
      <c r="AC620" s="46">
        <v>7.2000000000000022E-2</v>
      </c>
      <c r="AD620" s="46">
        <v>7.7439999999999995E-2</v>
      </c>
      <c r="AE620" s="46">
        <v>0.92799999999999994</v>
      </c>
      <c r="AF620" s="59" t="s">
        <v>1576</v>
      </c>
      <c r="AH620" s="59" t="s">
        <v>1635</v>
      </c>
    </row>
    <row r="621" spans="22:34" x14ac:dyDescent="0.25">
      <c r="V621" s="59" t="s">
        <v>887</v>
      </c>
      <c r="W621" s="46">
        <v>0.6</v>
      </c>
      <c r="X621" s="46">
        <v>0.05</v>
      </c>
      <c r="Y621" s="46">
        <v>0.28000000000000003</v>
      </c>
      <c r="Z621" s="46">
        <v>0.02</v>
      </c>
      <c r="AA621" s="46">
        <v>7.0000000000000007E-2</v>
      </c>
      <c r="AB621" s="46">
        <v>1.78E-2</v>
      </c>
      <c r="AC621" s="46">
        <v>7.0000000000000007E-2</v>
      </c>
      <c r="AD621" s="46">
        <v>9.6000000000000002E-2</v>
      </c>
      <c r="AE621" s="46">
        <v>0.93</v>
      </c>
      <c r="AF621" s="59" t="s">
        <v>1576</v>
      </c>
      <c r="AH621" s="59" t="s">
        <v>1635</v>
      </c>
    </row>
    <row r="622" spans="22:34" x14ac:dyDescent="0.25">
      <c r="V622" s="59" t="s">
        <v>927</v>
      </c>
      <c r="W622" s="46">
        <v>0</v>
      </c>
      <c r="X622" s="46">
        <v>0.99</v>
      </c>
      <c r="Y622" s="46">
        <v>0.01</v>
      </c>
      <c r="Z622" s="46">
        <v>0</v>
      </c>
      <c r="AA622" s="46">
        <v>0</v>
      </c>
      <c r="AB622" s="46">
        <v>0</v>
      </c>
      <c r="AC622" s="46">
        <v>0.01</v>
      </c>
      <c r="AD622" s="46">
        <v>0</v>
      </c>
      <c r="AE622" s="46">
        <v>0.99</v>
      </c>
      <c r="AF622" s="59" t="s">
        <v>1576</v>
      </c>
      <c r="AH622" s="59" t="s">
        <v>1635</v>
      </c>
    </row>
    <row r="623" spans="22:34" x14ac:dyDescent="0.25">
      <c r="V623" s="59" t="s">
        <v>676</v>
      </c>
      <c r="W623" s="46">
        <v>0.65</v>
      </c>
      <c r="X623" s="46">
        <v>0.13</v>
      </c>
      <c r="Y623" s="46">
        <v>0.21</v>
      </c>
      <c r="Z623" s="46">
        <v>0.12</v>
      </c>
      <c r="AA623" s="46">
        <v>0.01</v>
      </c>
      <c r="AB623" s="46">
        <v>8.199999999999999E-3</v>
      </c>
      <c r="AC623" s="46">
        <v>0.08</v>
      </c>
      <c r="AD623" s="46">
        <v>0.10400000000000001</v>
      </c>
      <c r="AE623" s="46">
        <v>0.92</v>
      </c>
      <c r="AF623" s="59" t="s">
        <v>1576</v>
      </c>
      <c r="AH623" s="59" t="s">
        <v>1635</v>
      </c>
    </row>
    <row r="624" spans="22:34" x14ac:dyDescent="0.25">
      <c r="V624" s="59" t="s">
        <v>1014</v>
      </c>
      <c r="W624" s="46">
        <v>0</v>
      </c>
      <c r="X624" s="46">
        <v>0</v>
      </c>
      <c r="Y624" s="46">
        <v>0</v>
      </c>
      <c r="Z624" s="46">
        <v>0</v>
      </c>
      <c r="AA624" s="46">
        <v>1</v>
      </c>
      <c r="AB624" s="46">
        <v>0</v>
      </c>
      <c r="AC624" s="46">
        <v>0</v>
      </c>
      <c r="AD624" s="46">
        <v>0</v>
      </c>
      <c r="AE624" s="46">
        <v>1</v>
      </c>
      <c r="AF624" s="59" t="s">
        <v>1576</v>
      </c>
      <c r="AH624" s="59" t="s">
        <v>1635</v>
      </c>
    </row>
    <row r="625" spans="22:34" x14ac:dyDescent="0.25">
      <c r="V625" s="59" t="s">
        <v>997</v>
      </c>
      <c r="W625" s="46">
        <v>0.28000000000000003</v>
      </c>
      <c r="X625" s="46">
        <v>5.0000000000000001E-3</v>
      </c>
      <c r="Y625" s="46">
        <v>0.46500000000000002</v>
      </c>
      <c r="Z625" s="46">
        <v>0.1</v>
      </c>
      <c r="AA625" s="46">
        <v>0.25</v>
      </c>
      <c r="AB625" s="46">
        <v>0</v>
      </c>
      <c r="AC625" s="46">
        <v>0.02</v>
      </c>
      <c r="AD625" s="46">
        <v>4.4800000000000006E-2</v>
      </c>
      <c r="AE625" s="46">
        <v>0.98</v>
      </c>
      <c r="AF625" s="59" t="s">
        <v>1576</v>
      </c>
      <c r="AH625" s="59" t="s">
        <v>1635</v>
      </c>
    </row>
    <row r="626" spans="22:34" x14ac:dyDescent="0.25">
      <c r="V626" s="59" t="s">
        <v>996</v>
      </c>
      <c r="W626" s="46">
        <v>0.32</v>
      </c>
      <c r="X626" s="46">
        <v>5.0000000000000001E-3</v>
      </c>
      <c r="Y626" s="46">
        <v>0.34499999999999997</v>
      </c>
      <c r="Z626" s="46">
        <v>0.1</v>
      </c>
      <c r="AA626" s="46">
        <v>0.33</v>
      </c>
      <c r="AB626" s="46">
        <v>0</v>
      </c>
      <c r="AC626" s="46">
        <v>0.02</v>
      </c>
      <c r="AD626" s="46">
        <v>5.1200000000000002E-2</v>
      </c>
      <c r="AE626" s="46">
        <v>0.98</v>
      </c>
      <c r="AF626" s="59" t="s">
        <v>1576</v>
      </c>
      <c r="AH626" s="59" t="s">
        <v>1635</v>
      </c>
    </row>
    <row r="627" spans="22:34" x14ac:dyDescent="0.25">
      <c r="V627" s="59" t="s">
        <v>1005</v>
      </c>
      <c r="W627" s="46">
        <v>0</v>
      </c>
      <c r="X627" s="46">
        <v>0</v>
      </c>
      <c r="Y627" s="46">
        <v>0.01</v>
      </c>
      <c r="Z627" s="46">
        <v>0</v>
      </c>
      <c r="AA627" s="46">
        <v>0.99</v>
      </c>
      <c r="AB627" s="46">
        <v>0</v>
      </c>
      <c r="AC627" s="46">
        <v>0.01</v>
      </c>
      <c r="AD627" s="46">
        <v>0</v>
      </c>
      <c r="AE627" s="46">
        <v>0.99</v>
      </c>
      <c r="AF627" s="59" t="s">
        <v>1576</v>
      </c>
      <c r="AH627" s="59" t="s">
        <v>1635</v>
      </c>
    </row>
    <row r="628" spans="22:34" x14ac:dyDescent="0.25">
      <c r="V628" s="59" t="s">
        <v>1004</v>
      </c>
      <c r="W628" s="46">
        <v>0</v>
      </c>
      <c r="X628" s="46">
        <v>0</v>
      </c>
      <c r="Y628" s="46">
        <v>0.01</v>
      </c>
      <c r="Z628" s="46">
        <v>0</v>
      </c>
      <c r="AA628" s="46">
        <v>0.99</v>
      </c>
      <c r="AB628" s="46">
        <v>0</v>
      </c>
      <c r="AC628" s="46">
        <v>0.01</v>
      </c>
      <c r="AD628" s="46">
        <v>0</v>
      </c>
      <c r="AE628" s="46">
        <v>0.99</v>
      </c>
      <c r="AF628" s="59" t="s">
        <v>1576</v>
      </c>
      <c r="AH628" s="59" t="s">
        <v>1635</v>
      </c>
    </row>
    <row r="629" spans="22:34" x14ac:dyDescent="0.25">
      <c r="V629" s="59"/>
    </row>
    <row r="630" spans="22:34" x14ac:dyDescent="0.25">
      <c r="V630" s="59"/>
    </row>
    <row r="631" spans="22:34" x14ac:dyDescent="0.25">
      <c r="V631" s="59"/>
    </row>
    <row r="632" spans="22:34" x14ac:dyDescent="0.25">
      <c r="V632" s="59"/>
    </row>
    <row r="633" spans="22:34" x14ac:dyDescent="0.25">
      <c r="V633" s="59"/>
    </row>
    <row r="634" spans="22:34" x14ac:dyDescent="0.25">
      <c r="V634" s="59"/>
    </row>
    <row r="635" spans="22:34" x14ac:dyDescent="0.25">
      <c r="V635" s="59"/>
    </row>
    <row r="636" spans="22:34" x14ac:dyDescent="0.25">
      <c r="V636" s="59"/>
    </row>
    <row r="637" spans="22:34" x14ac:dyDescent="0.25">
      <c r="V637" s="59"/>
    </row>
    <row r="638" spans="22:34" x14ac:dyDescent="0.25">
      <c r="V638" s="59"/>
    </row>
    <row r="639" spans="22:34" x14ac:dyDescent="0.25">
      <c r="V639" s="59"/>
    </row>
    <row r="640" spans="22:34" x14ac:dyDescent="0.25">
      <c r="V640" s="59"/>
    </row>
    <row r="641" spans="22:22" x14ac:dyDescent="0.25">
      <c r="V641" s="59"/>
    </row>
    <row r="642" spans="22:22" x14ac:dyDescent="0.25">
      <c r="V642" s="59"/>
    </row>
    <row r="643" spans="22:22" x14ac:dyDescent="0.25">
      <c r="V643" s="59"/>
    </row>
    <row r="644" spans="22:22" x14ac:dyDescent="0.25">
      <c r="V644" s="59"/>
    </row>
  </sheetData>
  <mergeCells count="145">
    <mergeCell ref="L249:T249"/>
    <mergeCell ref="L225:T225"/>
    <mergeCell ref="B227:T227"/>
    <mergeCell ref="B228:B230"/>
    <mergeCell ref="C228:C230"/>
    <mergeCell ref="D228:D230"/>
    <mergeCell ref="E228:E230"/>
    <mergeCell ref="F228:F230"/>
    <mergeCell ref="G228:G230"/>
    <mergeCell ref="H228:H230"/>
    <mergeCell ref="K228:K230"/>
    <mergeCell ref="L228:L229"/>
    <mergeCell ref="M228:N229"/>
    <mergeCell ref="O228:T230"/>
    <mergeCell ref="M230:N230"/>
    <mergeCell ref="L201:T201"/>
    <mergeCell ref="B203:T203"/>
    <mergeCell ref="B204:B206"/>
    <mergeCell ref="C204:C206"/>
    <mergeCell ref="D204:D206"/>
    <mergeCell ref="E204:E206"/>
    <mergeCell ref="F204:F206"/>
    <mergeCell ref="G204:G206"/>
    <mergeCell ref="H204:H206"/>
    <mergeCell ref="K204:K206"/>
    <mergeCell ref="L204:L205"/>
    <mergeCell ref="M204:N205"/>
    <mergeCell ref="O204:T206"/>
    <mergeCell ref="M206:N206"/>
    <mergeCell ref="L177:T177"/>
    <mergeCell ref="B179:T179"/>
    <mergeCell ref="B180:B182"/>
    <mergeCell ref="C180:C182"/>
    <mergeCell ref="D180:D182"/>
    <mergeCell ref="E180:E182"/>
    <mergeCell ref="F180:F182"/>
    <mergeCell ref="G180:G182"/>
    <mergeCell ref="H180:H182"/>
    <mergeCell ref="K180:K182"/>
    <mergeCell ref="L180:L181"/>
    <mergeCell ref="M180:N181"/>
    <mergeCell ref="O180:T182"/>
    <mergeCell ref="M182:N182"/>
    <mergeCell ref="L153:T153"/>
    <mergeCell ref="B155:T155"/>
    <mergeCell ref="B156:B158"/>
    <mergeCell ref="C156:C158"/>
    <mergeCell ref="D156:D158"/>
    <mergeCell ref="E156:E158"/>
    <mergeCell ref="F156:F158"/>
    <mergeCell ref="G156:G158"/>
    <mergeCell ref="H156:H158"/>
    <mergeCell ref="K156:K158"/>
    <mergeCell ref="L156:L157"/>
    <mergeCell ref="M156:N157"/>
    <mergeCell ref="O156:T158"/>
    <mergeCell ref="M158:N158"/>
    <mergeCell ref="L129:T129"/>
    <mergeCell ref="B131:T131"/>
    <mergeCell ref="B132:B134"/>
    <mergeCell ref="C132:C134"/>
    <mergeCell ref="D132:D134"/>
    <mergeCell ref="E132:E134"/>
    <mergeCell ref="F132:F134"/>
    <mergeCell ref="G132:G134"/>
    <mergeCell ref="H132:H134"/>
    <mergeCell ref="K132:K134"/>
    <mergeCell ref="L132:L133"/>
    <mergeCell ref="M132:N133"/>
    <mergeCell ref="O132:T134"/>
    <mergeCell ref="M134:N134"/>
    <mergeCell ref="L105:T105"/>
    <mergeCell ref="B107:T107"/>
    <mergeCell ref="B108:B110"/>
    <mergeCell ref="C108:C110"/>
    <mergeCell ref="D108:D110"/>
    <mergeCell ref="E108:E110"/>
    <mergeCell ref="F108:F110"/>
    <mergeCell ref="G108:G110"/>
    <mergeCell ref="H108:H110"/>
    <mergeCell ref="K108:K110"/>
    <mergeCell ref="L108:L109"/>
    <mergeCell ref="M108:N109"/>
    <mergeCell ref="O108:T110"/>
    <mergeCell ref="M110:N110"/>
    <mergeCell ref="L81:T81"/>
    <mergeCell ref="B83:T83"/>
    <mergeCell ref="B84:B86"/>
    <mergeCell ref="C84:C86"/>
    <mergeCell ref="D84:D86"/>
    <mergeCell ref="E84:E86"/>
    <mergeCell ref="F84:F86"/>
    <mergeCell ref="G84:G86"/>
    <mergeCell ref="H84:H86"/>
    <mergeCell ref="K84:K86"/>
    <mergeCell ref="L84:L85"/>
    <mergeCell ref="M84:N85"/>
    <mergeCell ref="O84:T86"/>
    <mergeCell ref="M86:N86"/>
    <mergeCell ref="L57:T57"/>
    <mergeCell ref="B59:T59"/>
    <mergeCell ref="B60:B62"/>
    <mergeCell ref="C60:C62"/>
    <mergeCell ref="D60:D62"/>
    <mergeCell ref="E60:E62"/>
    <mergeCell ref="F60:F62"/>
    <mergeCell ref="G60:G62"/>
    <mergeCell ref="H60:H62"/>
    <mergeCell ref="K60:K62"/>
    <mergeCell ref="L60:L61"/>
    <mergeCell ref="M60:N61"/>
    <mergeCell ref="O60:T62"/>
    <mergeCell ref="M62:N62"/>
    <mergeCell ref="B35:T35"/>
    <mergeCell ref="B36:B38"/>
    <mergeCell ref="C36:C38"/>
    <mergeCell ref="D36:D38"/>
    <mergeCell ref="E36:E38"/>
    <mergeCell ref="F36:F38"/>
    <mergeCell ref="G36:G38"/>
    <mergeCell ref="H36:H38"/>
    <mergeCell ref="K36:K38"/>
    <mergeCell ref="L36:L37"/>
    <mergeCell ref="M36:N37"/>
    <mergeCell ref="O36:T38"/>
    <mergeCell ref="M38:N38"/>
    <mergeCell ref="A1:Q1"/>
    <mergeCell ref="A4:B4"/>
    <mergeCell ref="A5:B5"/>
    <mergeCell ref="A6:B6"/>
    <mergeCell ref="A7:B7"/>
    <mergeCell ref="L33:T33"/>
    <mergeCell ref="K12:K14"/>
    <mergeCell ref="M12:N13"/>
    <mergeCell ref="L12:L13"/>
    <mergeCell ref="M14:N14"/>
    <mergeCell ref="B11:T11"/>
    <mergeCell ref="F12:F14"/>
    <mergeCell ref="G12:G14"/>
    <mergeCell ref="B12:B14"/>
    <mergeCell ref="C12:C14"/>
    <mergeCell ref="D12:D14"/>
    <mergeCell ref="E12:E14"/>
    <mergeCell ref="H12:H14"/>
    <mergeCell ref="O12:T14"/>
  </mergeCells>
  <phoneticPr fontId="8" type="noConversion"/>
  <dataValidations count="7">
    <dataValidation type="list" allowBlank="1" showInputMessage="1" showErrorMessage="1" sqref="O16:O31 O112:O127 O64:O79 O184:O199 O160:O175 O40:O55 O88:O103 O208:O223 O136:O151 O232:O247" xr:uid="{157712E6-D976-4B01-99D4-D33290153540}">
      <formula1>"Yes, No"</formula1>
    </dataValidation>
    <dataValidation type="list" allowBlank="1" showInputMessage="1" showErrorMessage="1" sqref="C16:C31 C184:C199 C40:C55 C208:C223 C64:C79 C88:C103 C112:C127 C136:C151 C160:C175 C232:C247" xr:uid="{CB02F362-1CDD-4D0F-89D9-07A7144733A9}">
      <formula1>Feeds</formula1>
    </dataValidation>
    <dataValidation type="list" allowBlank="1" showInputMessage="1" showErrorMessage="1" sqref="E12 E180 E36 E204 E60 E84 E108 E132 E156 E228" xr:uid="{47DB9B6D-04F7-44AA-A897-352C5D203B94}">
      <formula1>"Press flat, Extrusion, Cold extrusion, Flaking, Home made feed processing, Unknown"</formula1>
    </dataValidation>
    <dataValidation type="list" allowBlank="1" showInputMessage="1" showErrorMessage="1" sqref="J12 J180 J36 J204 J60 J84 J108 J132 J156 J228" xr:uid="{E9B89F84-0C1A-4425-B78E-48D82992F227}">
      <formula1>"Big Bag, Cardboard, Recycled cardboard, Plastic, Vrac, Unknown"</formula1>
    </dataValidation>
    <dataValidation type="list" allowBlank="1" showInputMessage="1" showErrorMessage="1" sqref="J14 J182 J38 J206 J62 J86 J110 J134 J158 J230" xr:uid="{D3AEBEA1-F116-4F7D-A37A-101B8FBD1E34}">
      <formula1>"Yes, No, Unknown"</formula1>
    </dataValidation>
    <dataValidation type="list" allowBlank="1" showInputMessage="1" showErrorMessage="1" sqref="M12 M156 M132 M108 M84 M60 M204 M36 M180 M228" xr:uid="{A1A72688-E6E8-4F0A-AD16-88BF39F27A01}">
      <formula1>$AH$13:$AH$23</formula1>
    </dataValidation>
    <dataValidation type="list" showInputMessage="1" showErrorMessage="1" sqref="Q16:Q31 Q40:Q55 Q208:Q223 Q64:Q79 Q88:Q103 Q112:Q127 Q136:Q151 Q160:Q175 Q184:Q199 Q232:Q247" xr:uid="{29F8FDE6-8BCA-4248-8FFF-0565F8964052}">
      <formula1>"Yes,No,Not determined"</formula1>
    </dataValidation>
  </dataValidations>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87C34-CAC6-4929-B317-A2737CBFEDD5}">
  <sheetPr>
    <tabColor theme="2" tint="-0.499984740745262"/>
  </sheetPr>
  <dimension ref="A1:BH172"/>
  <sheetViews>
    <sheetView topLeftCell="A137" zoomScale="120" zoomScaleNormal="120" workbookViewId="0">
      <selection activeCell="J157" sqref="J157"/>
    </sheetView>
  </sheetViews>
  <sheetFormatPr baseColWidth="10" defaultColWidth="7.140625" defaultRowHeight="15" outlineLevelRow="1" x14ac:dyDescent="0.25"/>
  <cols>
    <col min="1" max="1" width="1.42578125" style="510" customWidth="1"/>
    <col min="2" max="2" width="39" style="510" customWidth="1"/>
    <col min="3" max="3" width="11.140625" style="510" bestFit="1" customWidth="1"/>
    <col min="4" max="4" width="8" style="510" customWidth="1"/>
    <col min="5" max="5" width="7.42578125" style="510" bestFit="1" customWidth="1"/>
    <col min="6" max="6" width="7.7109375" style="510" bestFit="1" customWidth="1"/>
    <col min="7" max="7" width="5.42578125" style="510" bestFit="1" customWidth="1"/>
    <col min="8" max="8" width="4.7109375" style="510" customWidth="1"/>
    <col min="9" max="9" width="1" style="510" customWidth="1"/>
    <col min="10" max="10" width="9.28515625" style="510" bestFit="1" customWidth="1"/>
    <col min="11" max="40" width="10.28515625" style="510" customWidth="1"/>
    <col min="41" max="41" width="7.7109375" style="510" bestFit="1" customWidth="1"/>
    <col min="42" max="16384" width="7.140625" style="510"/>
  </cols>
  <sheetData>
    <row r="1" spans="1:11" s="59" customFormat="1" ht="20.25" thickBot="1" x14ac:dyDescent="0.35">
      <c r="A1" s="838" t="s">
        <v>1557</v>
      </c>
      <c r="B1" s="838"/>
      <c r="C1" s="838"/>
      <c r="D1" s="838"/>
      <c r="E1" s="838"/>
      <c r="F1" s="838"/>
      <c r="G1" s="838"/>
      <c r="H1" s="838"/>
      <c r="I1" s="838"/>
      <c r="J1" s="838"/>
      <c r="K1" s="838"/>
    </row>
    <row r="2" spans="1:11" ht="15.75" thickTop="1" x14ac:dyDescent="0.25"/>
    <row r="3" spans="1:11" ht="10.15" customHeight="1" x14ac:dyDescent="0.25">
      <c r="B3" s="511" t="s">
        <v>1489</v>
      </c>
      <c r="C3" s="509" t="s">
        <v>1490</v>
      </c>
      <c r="D3" s="582">
        <f>'System description'!C13</f>
        <v>0</v>
      </c>
    </row>
    <row r="4" spans="1:11" ht="10.15" customHeight="1" x14ac:dyDescent="0.25">
      <c r="B4" s="511" t="s">
        <v>1491</v>
      </c>
      <c r="C4" s="509" t="s">
        <v>1162</v>
      </c>
      <c r="D4" s="582">
        <v>1</v>
      </c>
    </row>
    <row r="5" spans="1:11" ht="10.15" customHeight="1" x14ac:dyDescent="0.25"/>
    <row r="6" spans="1:11" ht="10.15" customHeight="1" x14ac:dyDescent="0.25">
      <c r="B6" s="889" t="s">
        <v>1492</v>
      </c>
      <c r="C6" s="511" t="s">
        <v>38</v>
      </c>
      <c r="D6" s="511" t="s">
        <v>1493</v>
      </c>
      <c r="E6" s="511" t="s">
        <v>1494</v>
      </c>
      <c r="F6" s="895" t="s">
        <v>1347</v>
      </c>
    </row>
    <row r="7" spans="1:11" ht="10.15" customHeight="1" x14ac:dyDescent="0.25">
      <c r="B7" s="890"/>
      <c r="C7" s="511"/>
      <c r="D7" s="511" t="s">
        <v>1495</v>
      </c>
      <c r="E7" s="511" t="s">
        <v>1495</v>
      </c>
      <c r="F7" s="896"/>
    </row>
    <row r="8" spans="1:11" ht="11.25" customHeight="1" x14ac:dyDescent="0.25">
      <c r="B8" s="569"/>
      <c r="C8" s="579"/>
      <c r="D8" s="572" t="e">
        <f t="shared" ref="D8:D17" si="0">C8/($F$18)</f>
        <v>#DIV/0!</v>
      </c>
      <c r="E8" s="573">
        <f>C8/D4</f>
        <v>0</v>
      </c>
      <c r="F8" s="897">
        <f>SUM(E8:E17)</f>
        <v>0</v>
      </c>
    </row>
    <row r="9" spans="1:11" ht="11.25" customHeight="1" x14ac:dyDescent="0.25">
      <c r="B9" s="570"/>
      <c r="C9" s="580"/>
      <c r="D9" s="574" t="e">
        <f t="shared" si="0"/>
        <v>#DIV/0!</v>
      </c>
      <c r="E9" s="575">
        <f t="shared" ref="E9:E17" si="1">C9/$D$4</f>
        <v>0</v>
      </c>
      <c r="F9" s="898"/>
    </row>
    <row r="10" spans="1:11" ht="11.25" customHeight="1" x14ac:dyDescent="0.25">
      <c r="B10" s="570"/>
      <c r="C10" s="580"/>
      <c r="D10" s="574" t="e">
        <f t="shared" si="0"/>
        <v>#DIV/0!</v>
      </c>
      <c r="E10" s="575">
        <f t="shared" si="1"/>
        <v>0</v>
      </c>
      <c r="F10" s="898"/>
    </row>
    <row r="11" spans="1:11" ht="11.25" customHeight="1" x14ac:dyDescent="0.25">
      <c r="B11" s="570"/>
      <c r="C11" s="580"/>
      <c r="D11" s="574" t="e">
        <f t="shared" si="0"/>
        <v>#DIV/0!</v>
      </c>
      <c r="E11" s="575">
        <f t="shared" si="1"/>
        <v>0</v>
      </c>
      <c r="F11" s="898"/>
    </row>
    <row r="12" spans="1:11" ht="11.25" customHeight="1" x14ac:dyDescent="0.25">
      <c r="B12" s="570"/>
      <c r="C12" s="580"/>
      <c r="D12" s="574" t="e">
        <f t="shared" si="0"/>
        <v>#DIV/0!</v>
      </c>
      <c r="E12" s="575">
        <f t="shared" si="1"/>
        <v>0</v>
      </c>
      <c r="F12" s="898"/>
    </row>
    <row r="13" spans="1:11" ht="11.25" customHeight="1" x14ac:dyDescent="0.25">
      <c r="B13" s="570"/>
      <c r="C13" s="580"/>
      <c r="D13" s="574" t="e">
        <f t="shared" si="0"/>
        <v>#DIV/0!</v>
      </c>
      <c r="E13" s="575">
        <f t="shared" si="1"/>
        <v>0</v>
      </c>
      <c r="F13" s="898"/>
    </row>
    <row r="14" spans="1:11" ht="11.25" customHeight="1" x14ac:dyDescent="0.25">
      <c r="B14" s="570"/>
      <c r="C14" s="580"/>
      <c r="D14" s="574" t="e">
        <f t="shared" si="0"/>
        <v>#DIV/0!</v>
      </c>
      <c r="E14" s="575">
        <f t="shared" si="1"/>
        <v>0</v>
      </c>
      <c r="F14" s="898"/>
    </row>
    <row r="15" spans="1:11" ht="11.25" customHeight="1" x14ac:dyDescent="0.25">
      <c r="B15" s="570"/>
      <c r="C15" s="580"/>
      <c r="D15" s="574" t="e">
        <f t="shared" si="0"/>
        <v>#DIV/0!</v>
      </c>
      <c r="E15" s="575">
        <f t="shared" si="1"/>
        <v>0</v>
      </c>
      <c r="F15" s="898"/>
    </row>
    <row r="16" spans="1:11" x14ac:dyDescent="0.25">
      <c r="B16" s="570"/>
      <c r="C16" s="580"/>
      <c r="D16" s="574" t="e">
        <f t="shared" si="0"/>
        <v>#DIV/0!</v>
      </c>
      <c r="E16" s="575">
        <f t="shared" si="1"/>
        <v>0</v>
      </c>
      <c r="F16" s="898"/>
    </row>
    <row r="17" spans="2:60" x14ac:dyDescent="0.25">
      <c r="B17" s="571"/>
      <c r="C17" s="581"/>
      <c r="D17" s="576" t="e">
        <f t="shared" si="0"/>
        <v>#DIV/0!</v>
      </c>
      <c r="E17" s="577">
        <f t="shared" si="1"/>
        <v>0</v>
      </c>
      <c r="F17" s="899"/>
    </row>
    <row r="18" spans="2:60" x14ac:dyDescent="0.25">
      <c r="B18" s="900" t="s">
        <v>1496</v>
      </c>
      <c r="C18" s="901"/>
      <c r="D18" s="901"/>
      <c r="E18" s="902"/>
      <c r="F18" s="578">
        <f>SUM(C8:C17)</f>
        <v>0</v>
      </c>
    </row>
    <row r="19" spans="2:60" ht="4.9000000000000004" customHeight="1" x14ac:dyDescent="0.25"/>
    <row r="20" spans="2:60" ht="10.5" customHeight="1" x14ac:dyDescent="0.25">
      <c r="G20" s="894" t="s">
        <v>1497</v>
      </c>
      <c r="H20" s="894"/>
    </row>
    <row r="21" spans="2:60" x14ac:dyDescent="0.25">
      <c r="B21" s="517" t="s">
        <v>1498</v>
      </c>
      <c r="C21" s="518" t="s">
        <v>1499</v>
      </c>
      <c r="D21" s="518" t="s">
        <v>1488</v>
      </c>
      <c r="E21" s="894" t="s">
        <v>1500</v>
      </c>
      <c r="F21" s="894"/>
      <c r="G21" s="518" t="s">
        <v>1501</v>
      </c>
      <c r="H21" s="518" t="s">
        <v>1502</v>
      </c>
      <c r="J21" s="519">
        <v>0</v>
      </c>
      <c r="K21" s="520">
        <v>1</v>
      </c>
      <c r="L21" s="520">
        <v>2</v>
      </c>
      <c r="M21" s="520">
        <v>3</v>
      </c>
      <c r="N21" s="520">
        <v>4</v>
      </c>
      <c r="O21" s="520">
        <v>5</v>
      </c>
      <c r="P21" s="520">
        <v>6</v>
      </c>
      <c r="Q21" s="520">
        <v>7</v>
      </c>
      <c r="R21" s="520">
        <v>8</v>
      </c>
      <c r="S21" s="520">
        <v>9</v>
      </c>
      <c r="T21" s="520">
        <v>10</v>
      </c>
      <c r="U21" s="520">
        <v>11</v>
      </c>
      <c r="V21" s="520">
        <v>12</v>
      </c>
      <c r="W21" s="520">
        <v>13</v>
      </c>
      <c r="X21" s="520">
        <v>14</v>
      </c>
      <c r="Y21" s="520">
        <v>15</v>
      </c>
      <c r="Z21" s="520">
        <v>16</v>
      </c>
      <c r="AA21" s="520">
        <v>17</v>
      </c>
      <c r="AB21" s="520">
        <v>18</v>
      </c>
      <c r="AC21" s="520">
        <v>19</v>
      </c>
      <c r="AD21" s="520">
        <v>20</v>
      </c>
      <c r="AE21" s="520">
        <v>21</v>
      </c>
      <c r="AF21" s="520">
        <v>22</v>
      </c>
      <c r="AG21" s="520">
        <v>23</v>
      </c>
      <c r="AH21" s="520">
        <v>24</v>
      </c>
      <c r="AI21" s="520">
        <v>25</v>
      </c>
      <c r="AJ21" s="520">
        <v>26</v>
      </c>
      <c r="AK21" s="520">
        <v>27</v>
      </c>
      <c r="AL21" s="520">
        <v>28</v>
      </c>
      <c r="AM21" s="520">
        <v>29</v>
      </c>
      <c r="AN21" s="520">
        <v>30</v>
      </c>
      <c r="AO21" s="520">
        <v>31</v>
      </c>
      <c r="AP21" s="520">
        <v>32</v>
      </c>
      <c r="AQ21" s="520">
        <v>33</v>
      </c>
      <c r="AR21" s="520">
        <v>34</v>
      </c>
      <c r="AS21" s="520">
        <v>35</v>
      </c>
      <c r="AT21" s="520">
        <v>36</v>
      </c>
      <c r="AU21" s="520">
        <v>37</v>
      </c>
      <c r="AV21" s="520">
        <v>38</v>
      </c>
      <c r="AW21" s="520">
        <v>39</v>
      </c>
      <c r="AX21" s="520">
        <v>40</v>
      </c>
      <c r="AY21" s="520">
        <v>41</v>
      </c>
      <c r="AZ21" s="520">
        <v>42</v>
      </c>
      <c r="BA21" s="520">
        <v>43</v>
      </c>
      <c r="BB21" s="520">
        <v>44</v>
      </c>
      <c r="BC21" s="520">
        <v>45</v>
      </c>
      <c r="BD21" s="520">
        <v>46</v>
      </c>
      <c r="BE21" s="520">
        <v>47</v>
      </c>
      <c r="BF21" s="520">
        <v>48</v>
      </c>
      <c r="BG21" s="520">
        <v>49</v>
      </c>
      <c r="BH21" s="520">
        <v>50</v>
      </c>
    </row>
    <row r="22" spans="2:60" x14ac:dyDescent="0.25">
      <c r="B22" s="569" t="s">
        <v>483</v>
      </c>
      <c r="C22" s="583"/>
      <c r="D22" s="592" t="s">
        <v>1162</v>
      </c>
      <c r="E22" s="587"/>
      <c r="F22" s="521" t="s">
        <v>1503</v>
      </c>
      <c r="G22" s="583"/>
      <c r="H22" s="583"/>
      <c r="J22" s="522"/>
      <c r="K22" s="596">
        <f t="shared" ref="K22:Z36" si="2">IF(K$21&gt;$H22,0,IF(K$21&lt;$G22,0,$C22*$E22))</f>
        <v>0</v>
      </c>
      <c r="L22" s="596">
        <f t="shared" si="2"/>
        <v>0</v>
      </c>
      <c r="M22" s="596">
        <f t="shared" si="2"/>
        <v>0</v>
      </c>
      <c r="N22" s="596">
        <f t="shared" si="2"/>
        <v>0</v>
      </c>
      <c r="O22" s="596">
        <f t="shared" si="2"/>
        <v>0</v>
      </c>
      <c r="P22" s="596">
        <f t="shared" si="2"/>
        <v>0</v>
      </c>
      <c r="Q22" s="596">
        <f t="shared" si="2"/>
        <v>0</v>
      </c>
      <c r="R22" s="596">
        <f t="shared" si="2"/>
        <v>0</v>
      </c>
      <c r="S22" s="596">
        <f t="shared" si="2"/>
        <v>0</v>
      </c>
      <c r="T22" s="596">
        <f t="shared" si="2"/>
        <v>0</v>
      </c>
      <c r="U22" s="596">
        <f t="shared" si="2"/>
        <v>0</v>
      </c>
      <c r="V22" s="596">
        <f t="shared" si="2"/>
        <v>0</v>
      </c>
      <c r="W22" s="596">
        <f t="shared" si="2"/>
        <v>0</v>
      </c>
      <c r="X22" s="596">
        <f t="shared" si="2"/>
        <v>0</v>
      </c>
      <c r="Y22" s="596">
        <f t="shared" si="2"/>
        <v>0</v>
      </c>
      <c r="Z22" s="596">
        <f t="shared" si="2"/>
        <v>0</v>
      </c>
      <c r="AA22" s="596">
        <f t="shared" ref="AA22:AP36" si="3">IF(AA$21&gt;$H22,0,IF(AA$21&lt;$G22,0,$C22*$E22))</f>
        <v>0</v>
      </c>
      <c r="AB22" s="596">
        <f t="shared" si="3"/>
        <v>0</v>
      </c>
      <c r="AC22" s="596">
        <f t="shared" si="3"/>
        <v>0</v>
      </c>
      <c r="AD22" s="596">
        <f t="shared" si="3"/>
        <v>0</v>
      </c>
      <c r="AE22" s="596">
        <f t="shared" si="3"/>
        <v>0</v>
      </c>
      <c r="AF22" s="596">
        <f t="shared" si="3"/>
        <v>0</v>
      </c>
      <c r="AG22" s="596">
        <f t="shared" si="3"/>
        <v>0</v>
      </c>
      <c r="AH22" s="596">
        <f t="shared" si="3"/>
        <v>0</v>
      </c>
      <c r="AI22" s="596">
        <f t="shared" si="3"/>
        <v>0</v>
      </c>
      <c r="AJ22" s="596">
        <f t="shared" si="3"/>
        <v>0</v>
      </c>
      <c r="AK22" s="596">
        <f t="shared" si="3"/>
        <v>0</v>
      </c>
      <c r="AL22" s="596">
        <f t="shared" si="3"/>
        <v>0</v>
      </c>
      <c r="AM22" s="596">
        <f t="shared" si="3"/>
        <v>0</v>
      </c>
      <c r="AN22" s="596">
        <f t="shared" si="3"/>
        <v>0</v>
      </c>
      <c r="AO22" s="596">
        <f t="shared" si="3"/>
        <v>0</v>
      </c>
      <c r="AP22" s="596">
        <f t="shared" si="3"/>
        <v>0</v>
      </c>
      <c r="AQ22" s="596">
        <f t="shared" ref="AQ22:BF36" si="4">IF(AQ$21&gt;$H22,0,IF(AQ$21&lt;$G22,0,$C22*$E22))</f>
        <v>0</v>
      </c>
      <c r="AR22" s="596">
        <f t="shared" si="4"/>
        <v>0</v>
      </c>
      <c r="AS22" s="596">
        <f t="shared" si="4"/>
        <v>0</v>
      </c>
      <c r="AT22" s="596">
        <f t="shared" si="4"/>
        <v>0</v>
      </c>
      <c r="AU22" s="596">
        <f t="shared" si="4"/>
        <v>0</v>
      </c>
      <c r="AV22" s="596">
        <f t="shared" si="4"/>
        <v>0</v>
      </c>
      <c r="AW22" s="596">
        <f t="shared" si="4"/>
        <v>0</v>
      </c>
      <c r="AX22" s="596">
        <f t="shared" si="4"/>
        <v>0</v>
      </c>
      <c r="AY22" s="596">
        <f t="shared" si="4"/>
        <v>0</v>
      </c>
      <c r="AZ22" s="596">
        <f t="shared" si="4"/>
        <v>0</v>
      </c>
      <c r="BA22" s="596">
        <f t="shared" si="4"/>
        <v>0</v>
      </c>
      <c r="BB22" s="596">
        <f t="shared" si="4"/>
        <v>0</v>
      </c>
      <c r="BC22" s="596">
        <f t="shared" si="4"/>
        <v>0</v>
      </c>
      <c r="BD22" s="596">
        <f t="shared" si="4"/>
        <v>0</v>
      </c>
      <c r="BE22" s="596">
        <f t="shared" si="4"/>
        <v>0</v>
      </c>
      <c r="BF22" s="596">
        <f t="shared" si="4"/>
        <v>0</v>
      </c>
      <c r="BG22" s="596">
        <f t="shared" ref="BG22:BH35" si="5">IF(BG$21&gt;$H22,0,IF(BG$21&lt;$G22,0,$C22*$E22))</f>
        <v>0</v>
      </c>
      <c r="BH22" s="597">
        <f t="shared" si="5"/>
        <v>0</v>
      </c>
    </row>
    <row r="23" spans="2:60" x14ac:dyDescent="0.25">
      <c r="B23" s="570" t="s">
        <v>1541</v>
      </c>
      <c r="C23" s="593">
        <f>'Sheet 2'!C4/1000</f>
        <v>0</v>
      </c>
      <c r="D23" s="594" t="s">
        <v>1504</v>
      </c>
      <c r="E23" s="595" t="e">
        <f>'Sheet 2'!C8</f>
        <v>#DIV/0!</v>
      </c>
      <c r="F23" s="524" t="s">
        <v>1503</v>
      </c>
      <c r="G23" s="583"/>
      <c r="H23" s="583"/>
      <c r="J23" s="522"/>
      <c r="K23" s="596">
        <f t="shared" si="2"/>
        <v>0</v>
      </c>
      <c r="L23" s="596">
        <f t="shared" si="2"/>
        <v>0</v>
      </c>
      <c r="M23" s="596">
        <f t="shared" si="2"/>
        <v>0</v>
      </c>
      <c r="N23" s="596">
        <f t="shared" si="2"/>
        <v>0</v>
      </c>
      <c r="O23" s="596">
        <f t="shared" si="2"/>
        <v>0</v>
      </c>
      <c r="P23" s="596">
        <f t="shared" si="2"/>
        <v>0</v>
      </c>
      <c r="Q23" s="596">
        <f t="shared" si="2"/>
        <v>0</v>
      </c>
      <c r="R23" s="596">
        <f t="shared" si="2"/>
        <v>0</v>
      </c>
      <c r="S23" s="596">
        <f t="shared" si="2"/>
        <v>0</v>
      </c>
      <c r="T23" s="596">
        <f t="shared" si="2"/>
        <v>0</v>
      </c>
      <c r="U23" s="596">
        <f t="shared" si="2"/>
        <v>0</v>
      </c>
      <c r="V23" s="596">
        <f t="shared" si="2"/>
        <v>0</v>
      </c>
      <c r="W23" s="596">
        <f t="shared" si="2"/>
        <v>0</v>
      </c>
      <c r="X23" s="596">
        <f t="shared" si="2"/>
        <v>0</v>
      </c>
      <c r="Y23" s="596">
        <f t="shared" si="2"/>
        <v>0</v>
      </c>
      <c r="Z23" s="596">
        <f t="shared" si="2"/>
        <v>0</v>
      </c>
      <c r="AA23" s="596">
        <f t="shared" si="3"/>
        <v>0</v>
      </c>
      <c r="AB23" s="596">
        <f t="shared" si="3"/>
        <v>0</v>
      </c>
      <c r="AC23" s="596">
        <f t="shared" si="3"/>
        <v>0</v>
      </c>
      <c r="AD23" s="596">
        <f t="shared" si="3"/>
        <v>0</v>
      </c>
      <c r="AE23" s="596">
        <f t="shared" si="3"/>
        <v>0</v>
      </c>
      <c r="AF23" s="596">
        <f t="shared" si="3"/>
        <v>0</v>
      </c>
      <c r="AG23" s="596">
        <f t="shared" si="3"/>
        <v>0</v>
      </c>
      <c r="AH23" s="596">
        <f t="shared" si="3"/>
        <v>0</v>
      </c>
      <c r="AI23" s="596">
        <f t="shared" si="3"/>
        <v>0</v>
      </c>
      <c r="AJ23" s="596">
        <f t="shared" si="3"/>
        <v>0</v>
      </c>
      <c r="AK23" s="596">
        <f t="shared" si="3"/>
        <v>0</v>
      </c>
      <c r="AL23" s="596">
        <f t="shared" si="3"/>
        <v>0</v>
      </c>
      <c r="AM23" s="596">
        <f t="shared" si="3"/>
        <v>0</v>
      </c>
      <c r="AN23" s="596">
        <f t="shared" si="3"/>
        <v>0</v>
      </c>
      <c r="AO23" s="596">
        <f t="shared" si="3"/>
        <v>0</v>
      </c>
      <c r="AP23" s="596">
        <f t="shared" si="3"/>
        <v>0</v>
      </c>
      <c r="AQ23" s="596">
        <f t="shared" si="4"/>
        <v>0</v>
      </c>
      <c r="AR23" s="596">
        <f t="shared" si="4"/>
        <v>0</v>
      </c>
      <c r="AS23" s="596">
        <f t="shared" si="4"/>
        <v>0</v>
      </c>
      <c r="AT23" s="596">
        <f t="shared" si="4"/>
        <v>0</v>
      </c>
      <c r="AU23" s="596">
        <f t="shared" si="4"/>
        <v>0</v>
      </c>
      <c r="AV23" s="596">
        <f t="shared" si="4"/>
        <v>0</v>
      </c>
      <c r="AW23" s="596">
        <f t="shared" si="4"/>
        <v>0</v>
      </c>
      <c r="AX23" s="596">
        <f t="shared" si="4"/>
        <v>0</v>
      </c>
      <c r="AY23" s="596">
        <f t="shared" si="4"/>
        <v>0</v>
      </c>
      <c r="AZ23" s="596">
        <f t="shared" si="4"/>
        <v>0</v>
      </c>
      <c r="BA23" s="596">
        <f t="shared" si="4"/>
        <v>0</v>
      </c>
      <c r="BB23" s="596">
        <f t="shared" si="4"/>
        <v>0</v>
      </c>
      <c r="BC23" s="596">
        <f t="shared" si="4"/>
        <v>0</v>
      </c>
      <c r="BD23" s="596">
        <f t="shared" si="4"/>
        <v>0</v>
      </c>
      <c r="BE23" s="596">
        <f t="shared" si="4"/>
        <v>0</v>
      </c>
      <c r="BF23" s="596">
        <f t="shared" si="4"/>
        <v>0</v>
      </c>
      <c r="BG23" s="596">
        <f t="shared" si="5"/>
        <v>0</v>
      </c>
      <c r="BH23" s="598">
        <f t="shared" si="5"/>
        <v>0</v>
      </c>
    </row>
    <row r="24" spans="2:60" x14ac:dyDescent="0.25">
      <c r="B24" s="570" t="s">
        <v>293</v>
      </c>
      <c r="C24" s="583"/>
      <c r="D24" s="594" t="s">
        <v>1505</v>
      </c>
      <c r="E24" s="588"/>
      <c r="F24" s="524" t="s">
        <v>1503</v>
      </c>
      <c r="G24" s="583"/>
      <c r="H24" s="583"/>
      <c r="J24" s="522"/>
      <c r="K24" s="596">
        <f t="shared" si="2"/>
        <v>0</v>
      </c>
      <c r="L24" s="596">
        <f t="shared" si="2"/>
        <v>0</v>
      </c>
      <c r="M24" s="596">
        <f t="shared" si="2"/>
        <v>0</v>
      </c>
      <c r="N24" s="596">
        <f t="shared" si="2"/>
        <v>0</v>
      </c>
      <c r="O24" s="596">
        <f t="shared" si="2"/>
        <v>0</v>
      </c>
      <c r="P24" s="596">
        <f t="shared" si="2"/>
        <v>0</v>
      </c>
      <c r="Q24" s="596">
        <f t="shared" si="2"/>
        <v>0</v>
      </c>
      <c r="R24" s="596">
        <f t="shared" si="2"/>
        <v>0</v>
      </c>
      <c r="S24" s="596">
        <f t="shared" si="2"/>
        <v>0</v>
      </c>
      <c r="T24" s="596">
        <f t="shared" si="2"/>
        <v>0</v>
      </c>
      <c r="U24" s="596">
        <f t="shared" si="2"/>
        <v>0</v>
      </c>
      <c r="V24" s="596">
        <f t="shared" si="2"/>
        <v>0</v>
      </c>
      <c r="W24" s="596">
        <f t="shared" si="2"/>
        <v>0</v>
      </c>
      <c r="X24" s="596">
        <f t="shared" si="2"/>
        <v>0</v>
      </c>
      <c r="Y24" s="596">
        <f t="shared" si="2"/>
        <v>0</v>
      </c>
      <c r="Z24" s="596">
        <f t="shared" si="2"/>
        <v>0</v>
      </c>
      <c r="AA24" s="596">
        <f t="shared" si="3"/>
        <v>0</v>
      </c>
      <c r="AB24" s="596">
        <f t="shared" si="3"/>
        <v>0</v>
      </c>
      <c r="AC24" s="596">
        <f t="shared" si="3"/>
        <v>0</v>
      </c>
      <c r="AD24" s="596">
        <f t="shared" si="3"/>
        <v>0</v>
      </c>
      <c r="AE24" s="596">
        <f t="shared" si="3"/>
        <v>0</v>
      </c>
      <c r="AF24" s="596">
        <f t="shared" si="3"/>
        <v>0</v>
      </c>
      <c r="AG24" s="596">
        <f t="shared" si="3"/>
        <v>0</v>
      </c>
      <c r="AH24" s="596">
        <f t="shared" si="3"/>
        <v>0</v>
      </c>
      <c r="AI24" s="596">
        <f t="shared" si="3"/>
        <v>0</v>
      </c>
      <c r="AJ24" s="596">
        <f t="shared" si="3"/>
        <v>0</v>
      </c>
      <c r="AK24" s="596">
        <f t="shared" si="3"/>
        <v>0</v>
      </c>
      <c r="AL24" s="596">
        <f t="shared" si="3"/>
        <v>0</v>
      </c>
      <c r="AM24" s="596">
        <f t="shared" si="3"/>
        <v>0</v>
      </c>
      <c r="AN24" s="596">
        <f t="shared" si="3"/>
        <v>0</v>
      </c>
      <c r="AO24" s="596">
        <f t="shared" si="3"/>
        <v>0</v>
      </c>
      <c r="AP24" s="596">
        <f t="shared" si="3"/>
        <v>0</v>
      </c>
      <c r="AQ24" s="596">
        <f t="shared" si="4"/>
        <v>0</v>
      </c>
      <c r="AR24" s="596">
        <f t="shared" si="4"/>
        <v>0</v>
      </c>
      <c r="AS24" s="596">
        <f t="shared" si="4"/>
        <v>0</v>
      </c>
      <c r="AT24" s="596">
        <f t="shared" si="4"/>
        <v>0</v>
      </c>
      <c r="AU24" s="596">
        <f t="shared" si="4"/>
        <v>0</v>
      </c>
      <c r="AV24" s="596">
        <f t="shared" si="4"/>
        <v>0</v>
      </c>
      <c r="AW24" s="596">
        <f t="shared" si="4"/>
        <v>0</v>
      </c>
      <c r="AX24" s="596">
        <f t="shared" si="4"/>
        <v>0</v>
      </c>
      <c r="AY24" s="596">
        <f t="shared" si="4"/>
        <v>0</v>
      </c>
      <c r="AZ24" s="596">
        <f t="shared" si="4"/>
        <v>0</v>
      </c>
      <c r="BA24" s="596">
        <f t="shared" si="4"/>
        <v>0</v>
      </c>
      <c r="BB24" s="596">
        <f t="shared" si="4"/>
        <v>0</v>
      </c>
      <c r="BC24" s="596">
        <f t="shared" si="4"/>
        <v>0</v>
      </c>
      <c r="BD24" s="596">
        <f t="shared" si="4"/>
        <v>0</v>
      </c>
      <c r="BE24" s="596">
        <f t="shared" si="4"/>
        <v>0</v>
      </c>
      <c r="BF24" s="596">
        <f t="shared" si="4"/>
        <v>0</v>
      </c>
      <c r="BG24" s="596">
        <f t="shared" si="5"/>
        <v>0</v>
      </c>
      <c r="BH24" s="598">
        <f t="shared" si="5"/>
        <v>0</v>
      </c>
    </row>
    <row r="25" spans="2:60" x14ac:dyDescent="0.25">
      <c r="B25" s="570" t="s">
        <v>1506</v>
      </c>
      <c r="C25" s="583"/>
      <c r="D25" s="594" t="s">
        <v>21</v>
      </c>
      <c r="E25" s="589"/>
      <c r="F25" s="524" t="s">
        <v>1503</v>
      </c>
      <c r="G25" s="583"/>
      <c r="H25" s="583"/>
      <c r="J25" s="522"/>
      <c r="K25" s="596">
        <f t="shared" si="2"/>
        <v>0</v>
      </c>
      <c r="L25" s="596">
        <f t="shared" si="2"/>
        <v>0</v>
      </c>
      <c r="M25" s="596">
        <f t="shared" si="2"/>
        <v>0</v>
      </c>
      <c r="N25" s="596">
        <f t="shared" si="2"/>
        <v>0</v>
      </c>
      <c r="O25" s="596">
        <f t="shared" si="2"/>
        <v>0</v>
      </c>
      <c r="P25" s="596">
        <f t="shared" si="2"/>
        <v>0</v>
      </c>
      <c r="Q25" s="596">
        <f t="shared" si="2"/>
        <v>0</v>
      </c>
      <c r="R25" s="596">
        <f t="shared" si="2"/>
        <v>0</v>
      </c>
      <c r="S25" s="596">
        <f t="shared" si="2"/>
        <v>0</v>
      </c>
      <c r="T25" s="596">
        <f t="shared" si="2"/>
        <v>0</v>
      </c>
      <c r="U25" s="596">
        <f t="shared" si="2"/>
        <v>0</v>
      </c>
      <c r="V25" s="596">
        <f t="shared" si="2"/>
        <v>0</v>
      </c>
      <c r="W25" s="596">
        <f t="shared" si="2"/>
        <v>0</v>
      </c>
      <c r="X25" s="596">
        <f t="shared" si="2"/>
        <v>0</v>
      </c>
      <c r="Y25" s="596">
        <f t="shared" si="2"/>
        <v>0</v>
      </c>
      <c r="Z25" s="596">
        <f t="shared" si="2"/>
        <v>0</v>
      </c>
      <c r="AA25" s="596">
        <f t="shared" si="3"/>
        <v>0</v>
      </c>
      <c r="AB25" s="596">
        <f t="shared" si="3"/>
        <v>0</v>
      </c>
      <c r="AC25" s="596">
        <f t="shared" si="3"/>
        <v>0</v>
      </c>
      <c r="AD25" s="596">
        <f t="shared" si="3"/>
        <v>0</v>
      </c>
      <c r="AE25" s="596">
        <f t="shared" si="3"/>
        <v>0</v>
      </c>
      <c r="AF25" s="596">
        <f t="shared" si="3"/>
        <v>0</v>
      </c>
      <c r="AG25" s="596">
        <f t="shared" si="3"/>
        <v>0</v>
      </c>
      <c r="AH25" s="596">
        <f t="shared" si="3"/>
        <v>0</v>
      </c>
      <c r="AI25" s="596">
        <f t="shared" si="3"/>
        <v>0</v>
      </c>
      <c r="AJ25" s="596">
        <f t="shared" si="3"/>
        <v>0</v>
      </c>
      <c r="AK25" s="596">
        <f t="shared" si="3"/>
        <v>0</v>
      </c>
      <c r="AL25" s="596">
        <f t="shared" si="3"/>
        <v>0</v>
      </c>
      <c r="AM25" s="596">
        <f t="shared" si="3"/>
        <v>0</v>
      </c>
      <c r="AN25" s="596">
        <f t="shared" si="3"/>
        <v>0</v>
      </c>
      <c r="AO25" s="596">
        <f t="shared" si="3"/>
        <v>0</v>
      </c>
      <c r="AP25" s="596">
        <f t="shared" si="3"/>
        <v>0</v>
      </c>
      <c r="AQ25" s="596">
        <f t="shared" si="4"/>
        <v>0</v>
      </c>
      <c r="AR25" s="596">
        <f t="shared" si="4"/>
        <v>0</v>
      </c>
      <c r="AS25" s="596">
        <f t="shared" si="4"/>
        <v>0</v>
      </c>
      <c r="AT25" s="596">
        <f t="shared" si="4"/>
        <v>0</v>
      </c>
      <c r="AU25" s="596">
        <f t="shared" si="4"/>
        <v>0</v>
      </c>
      <c r="AV25" s="596">
        <f t="shared" si="4"/>
        <v>0</v>
      </c>
      <c r="AW25" s="596">
        <f t="shared" si="4"/>
        <v>0</v>
      </c>
      <c r="AX25" s="596">
        <f t="shared" si="4"/>
        <v>0</v>
      </c>
      <c r="AY25" s="596">
        <f t="shared" si="4"/>
        <v>0</v>
      </c>
      <c r="AZ25" s="596">
        <f t="shared" si="4"/>
        <v>0</v>
      </c>
      <c r="BA25" s="596">
        <f t="shared" si="4"/>
        <v>0</v>
      </c>
      <c r="BB25" s="596">
        <f t="shared" si="4"/>
        <v>0</v>
      </c>
      <c r="BC25" s="596">
        <f t="shared" si="4"/>
        <v>0</v>
      </c>
      <c r="BD25" s="596">
        <f t="shared" si="4"/>
        <v>0</v>
      </c>
      <c r="BE25" s="596">
        <f t="shared" si="4"/>
        <v>0</v>
      </c>
      <c r="BF25" s="596">
        <f t="shared" si="4"/>
        <v>0</v>
      </c>
      <c r="BG25" s="596">
        <f t="shared" si="5"/>
        <v>0</v>
      </c>
      <c r="BH25" s="598">
        <f t="shared" si="5"/>
        <v>0</v>
      </c>
    </row>
    <row r="26" spans="2:60" x14ac:dyDescent="0.25">
      <c r="B26" s="570" t="s">
        <v>1507</v>
      </c>
      <c r="C26" s="583"/>
      <c r="D26" s="594" t="s">
        <v>1504</v>
      </c>
      <c r="E26" s="590"/>
      <c r="F26" s="524" t="s">
        <v>1503</v>
      </c>
      <c r="G26" s="583"/>
      <c r="H26" s="583"/>
      <c r="J26" s="522"/>
      <c r="K26" s="596">
        <f t="shared" si="2"/>
        <v>0</v>
      </c>
      <c r="L26" s="596">
        <f t="shared" si="2"/>
        <v>0</v>
      </c>
      <c r="M26" s="596">
        <f t="shared" si="2"/>
        <v>0</v>
      </c>
      <c r="N26" s="596">
        <f t="shared" si="2"/>
        <v>0</v>
      </c>
      <c r="O26" s="596">
        <f t="shared" si="2"/>
        <v>0</v>
      </c>
      <c r="P26" s="596">
        <f t="shared" si="2"/>
        <v>0</v>
      </c>
      <c r="Q26" s="596">
        <f t="shared" si="2"/>
        <v>0</v>
      </c>
      <c r="R26" s="596">
        <f t="shared" si="2"/>
        <v>0</v>
      </c>
      <c r="S26" s="596">
        <f t="shared" si="2"/>
        <v>0</v>
      </c>
      <c r="T26" s="596">
        <f t="shared" si="2"/>
        <v>0</v>
      </c>
      <c r="U26" s="596">
        <f t="shared" si="2"/>
        <v>0</v>
      </c>
      <c r="V26" s="596">
        <f t="shared" si="2"/>
        <v>0</v>
      </c>
      <c r="W26" s="596">
        <f t="shared" si="2"/>
        <v>0</v>
      </c>
      <c r="X26" s="596">
        <f t="shared" si="2"/>
        <v>0</v>
      </c>
      <c r="Y26" s="596">
        <f t="shared" si="2"/>
        <v>0</v>
      </c>
      <c r="Z26" s="596">
        <f t="shared" si="2"/>
        <v>0</v>
      </c>
      <c r="AA26" s="596">
        <f t="shared" si="3"/>
        <v>0</v>
      </c>
      <c r="AB26" s="596">
        <f t="shared" si="3"/>
        <v>0</v>
      </c>
      <c r="AC26" s="596">
        <f t="shared" si="3"/>
        <v>0</v>
      </c>
      <c r="AD26" s="596">
        <f t="shared" si="3"/>
        <v>0</v>
      </c>
      <c r="AE26" s="596">
        <f t="shared" si="3"/>
        <v>0</v>
      </c>
      <c r="AF26" s="596">
        <f t="shared" si="3"/>
        <v>0</v>
      </c>
      <c r="AG26" s="596">
        <f t="shared" si="3"/>
        <v>0</v>
      </c>
      <c r="AH26" s="596">
        <f t="shared" si="3"/>
        <v>0</v>
      </c>
      <c r="AI26" s="596">
        <f t="shared" si="3"/>
        <v>0</v>
      </c>
      <c r="AJ26" s="596">
        <f t="shared" si="3"/>
        <v>0</v>
      </c>
      <c r="AK26" s="596">
        <f t="shared" si="3"/>
        <v>0</v>
      </c>
      <c r="AL26" s="596">
        <f t="shared" si="3"/>
        <v>0</v>
      </c>
      <c r="AM26" s="596">
        <f t="shared" si="3"/>
        <v>0</v>
      </c>
      <c r="AN26" s="596">
        <f t="shared" si="3"/>
        <v>0</v>
      </c>
      <c r="AO26" s="596">
        <f t="shared" si="3"/>
        <v>0</v>
      </c>
      <c r="AP26" s="596">
        <f t="shared" si="3"/>
        <v>0</v>
      </c>
      <c r="AQ26" s="596">
        <f t="shared" si="4"/>
        <v>0</v>
      </c>
      <c r="AR26" s="596">
        <f t="shared" si="4"/>
        <v>0</v>
      </c>
      <c r="AS26" s="596">
        <f t="shared" si="4"/>
        <v>0</v>
      </c>
      <c r="AT26" s="596">
        <f t="shared" si="4"/>
        <v>0</v>
      </c>
      <c r="AU26" s="596">
        <f t="shared" si="4"/>
        <v>0</v>
      </c>
      <c r="AV26" s="596">
        <f t="shared" si="4"/>
        <v>0</v>
      </c>
      <c r="AW26" s="596">
        <f t="shared" si="4"/>
        <v>0</v>
      </c>
      <c r="AX26" s="596">
        <f t="shared" si="4"/>
        <v>0</v>
      </c>
      <c r="AY26" s="596">
        <f t="shared" si="4"/>
        <v>0</v>
      </c>
      <c r="AZ26" s="596">
        <f t="shared" si="4"/>
        <v>0</v>
      </c>
      <c r="BA26" s="596">
        <f t="shared" si="4"/>
        <v>0</v>
      </c>
      <c r="BB26" s="596">
        <f t="shared" si="4"/>
        <v>0</v>
      </c>
      <c r="BC26" s="596">
        <f t="shared" si="4"/>
        <v>0</v>
      </c>
      <c r="BD26" s="596">
        <f t="shared" si="4"/>
        <v>0</v>
      </c>
      <c r="BE26" s="596">
        <f t="shared" si="4"/>
        <v>0</v>
      </c>
      <c r="BF26" s="596">
        <f t="shared" si="4"/>
        <v>0</v>
      </c>
      <c r="BG26" s="596">
        <f t="shared" si="5"/>
        <v>0</v>
      </c>
      <c r="BH26" s="598">
        <f t="shared" si="5"/>
        <v>0</v>
      </c>
    </row>
    <row r="27" spans="2:60" x14ac:dyDescent="0.25">
      <c r="B27" s="570" t="s">
        <v>1508</v>
      </c>
      <c r="C27" s="583"/>
      <c r="D27" s="594" t="s">
        <v>21</v>
      </c>
      <c r="E27" s="589"/>
      <c r="F27" s="524" t="s">
        <v>1503</v>
      </c>
      <c r="G27" s="583"/>
      <c r="H27" s="583"/>
      <c r="J27" s="522"/>
      <c r="K27" s="596">
        <f t="shared" si="2"/>
        <v>0</v>
      </c>
      <c r="L27" s="596">
        <f t="shared" si="2"/>
        <v>0</v>
      </c>
      <c r="M27" s="596">
        <f t="shared" si="2"/>
        <v>0</v>
      </c>
      <c r="N27" s="596">
        <f t="shared" si="2"/>
        <v>0</v>
      </c>
      <c r="O27" s="596">
        <f t="shared" si="2"/>
        <v>0</v>
      </c>
      <c r="P27" s="596">
        <f t="shared" si="2"/>
        <v>0</v>
      </c>
      <c r="Q27" s="596">
        <f t="shared" si="2"/>
        <v>0</v>
      </c>
      <c r="R27" s="596">
        <f t="shared" si="2"/>
        <v>0</v>
      </c>
      <c r="S27" s="596">
        <f t="shared" si="2"/>
        <v>0</v>
      </c>
      <c r="T27" s="596">
        <f t="shared" si="2"/>
        <v>0</v>
      </c>
      <c r="U27" s="596">
        <f t="shared" si="2"/>
        <v>0</v>
      </c>
      <c r="V27" s="596">
        <f t="shared" si="2"/>
        <v>0</v>
      </c>
      <c r="W27" s="596">
        <f t="shared" si="2"/>
        <v>0</v>
      </c>
      <c r="X27" s="596">
        <f t="shared" si="2"/>
        <v>0</v>
      </c>
      <c r="Y27" s="596">
        <f t="shared" si="2"/>
        <v>0</v>
      </c>
      <c r="Z27" s="596">
        <f t="shared" si="2"/>
        <v>0</v>
      </c>
      <c r="AA27" s="596">
        <f t="shared" si="3"/>
        <v>0</v>
      </c>
      <c r="AB27" s="596">
        <f t="shared" si="3"/>
        <v>0</v>
      </c>
      <c r="AC27" s="596">
        <f t="shared" si="3"/>
        <v>0</v>
      </c>
      <c r="AD27" s="596">
        <f t="shared" si="3"/>
        <v>0</v>
      </c>
      <c r="AE27" s="596">
        <f t="shared" si="3"/>
        <v>0</v>
      </c>
      <c r="AF27" s="596">
        <f t="shared" si="3"/>
        <v>0</v>
      </c>
      <c r="AG27" s="596">
        <f t="shared" si="3"/>
        <v>0</v>
      </c>
      <c r="AH27" s="596">
        <f t="shared" si="3"/>
        <v>0</v>
      </c>
      <c r="AI27" s="596">
        <f t="shared" si="3"/>
        <v>0</v>
      </c>
      <c r="AJ27" s="596">
        <f t="shared" si="3"/>
        <v>0</v>
      </c>
      <c r="AK27" s="596">
        <f t="shared" si="3"/>
        <v>0</v>
      </c>
      <c r="AL27" s="596">
        <f t="shared" si="3"/>
        <v>0</v>
      </c>
      <c r="AM27" s="596">
        <f t="shared" si="3"/>
        <v>0</v>
      </c>
      <c r="AN27" s="596">
        <f t="shared" si="3"/>
        <v>0</v>
      </c>
      <c r="AO27" s="596">
        <f t="shared" si="3"/>
        <v>0</v>
      </c>
      <c r="AP27" s="596">
        <f t="shared" si="3"/>
        <v>0</v>
      </c>
      <c r="AQ27" s="596">
        <f t="shared" si="4"/>
        <v>0</v>
      </c>
      <c r="AR27" s="596">
        <f t="shared" si="4"/>
        <v>0</v>
      </c>
      <c r="AS27" s="596">
        <f t="shared" si="4"/>
        <v>0</v>
      </c>
      <c r="AT27" s="596">
        <f t="shared" si="4"/>
        <v>0</v>
      </c>
      <c r="AU27" s="596">
        <f t="shared" si="4"/>
        <v>0</v>
      </c>
      <c r="AV27" s="596">
        <f t="shared" si="4"/>
        <v>0</v>
      </c>
      <c r="AW27" s="596">
        <f t="shared" si="4"/>
        <v>0</v>
      </c>
      <c r="AX27" s="596">
        <f t="shared" si="4"/>
        <v>0</v>
      </c>
      <c r="AY27" s="596">
        <f t="shared" si="4"/>
        <v>0</v>
      </c>
      <c r="AZ27" s="596">
        <f t="shared" si="4"/>
        <v>0</v>
      </c>
      <c r="BA27" s="596">
        <f t="shared" si="4"/>
        <v>0</v>
      </c>
      <c r="BB27" s="596">
        <f t="shared" si="4"/>
        <v>0</v>
      </c>
      <c r="BC27" s="596">
        <f t="shared" si="4"/>
        <v>0</v>
      </c>
      <c r="BD27" s="596">
        <f t="shared" si="4"/>
        <v>0</v>
      </c>
      <c r="BE27" s="596">
        <f t="shared" si="4"/>
        <v>0</v>
      </c>
      <c r="BF27" s="596">
        <f t="shared" si="4"/>
        <v>0</v>
      </c>
      <c r="BG27" s="596">
        <f t="shared" si="5"/>
        <v>0</v>
      </c>
      <c r="BH27" s="598">
        <f t="shared" si="5"/>
        <v>0</v>
      </c>
    </row>
    <row r="28" spans="2:60" x14ac:dyDescent="0.25">
      <c r="B28" s="570" t="s">
        <v>1509</v>
      </c>
      <c r="C28" s="583"/>
      <c r="D28" s="594" t="s">
        <v>1162</v>
      </c>
      <c r="E28" s="589"/>
      <c r="F28" s="524" t="s">
        <v>1503</v>
      </c>
      <c r="G28" s="583"/>
      <c r="H28" s="583"/>
      <c r="J28" s="522"/>
      <c r="K28" s="596">
        <f t="shared" si="2"/>
        <v>0</v>
      </c>
      <c r="L28" s="596">
        <f t="shared" si="2"/>
        <v>0</v>
      </c>
      <c r="M28" s="596">
        <f t="shared" si="2"/>
        <v>0</v>
      </c>
      <c r="N28" s="596">
        <f t="shared" si="2"/>
        <v>0</v>
      </c>
      <c r="O28" s="596">
        <f t="shared" si="2"/>
        <v>0</v>
      </c>
      <c r="P28" s="596">
        <f t="shared" si="2"/>
        <v>0</v>
      </c>
      <c r="Q28" s="596">
        <f t="shared" si="2"/>
        <v>0</v>
      </c>
      <c r="R28" s="596">
        <f t="shared" si="2"/>
        <v>0</v>
      </c>
      <c r="S28" s="596">
        <f t="shared" si="2"/>
        <v>0</v>
      </c>
      <c r="T28" s="596">
        <f t="shared" si="2"/>
        <v>0</v>
      </c>
      <c r="U28" s="596">
        <f t="shared" si="2"/>
        <v>0</v>
      </c>
      <c r="V28" s="596">
        <f t="shared" si="2"/>
        <v>0</v>
      </c>
      <c r="W28" s="596">
        <f t="shared" si="2"/>
        <v>0</v>
      </c>
      <c r="X28" s="596">
        <f t="shared" si="2"/>
        <v>0</v>
      </c>
      <c r="Y28" s="596">
        <f t="shared" si="2"/>
        <v>0</v>
      </c>
      <c r="Z28" s="596">
        <f t="shared" si="2"/>
        <v>0</v>
      </c>
      <c r="AA28" s="596">
        <f t="shared" si="3"/>
        <v>0</v>
      </c>
      <c r="AB28" s="596">
        <f t="shared" si="3"/>
        <v>0</v>
      </c>
      <c r="AC28" s="596">
        <f t="shared" si="3"/>
        <v>0</v>
      </c>
      <c r="AD28" s="596">
        <f t="shared" si="3"/>
        <v>0</v>
      </c>
      <c r="AE28" s="596">
        <f t="shared" si="3"/>
        <v>0</v>
      </c>
      <c r="AF28" s="596">
        <f t="shared" si="3"/>
        <v>0</v>
      </c>
      <c r="AG28" s="596">
        <f t="shared" si="3"/>
        <v>0</v>
      </c>
      <c r="AH28" s="596">
        <f t="shared" si="3"/>
        <v>0</v>
      </c>
      <c r="AI28" s="596">
        <f t="shared" si="3"/>
        <v>0</v>
      </c>
      <c r="AJ28" s="596">
        <f t="shared" si="3"/>
        <v>0</v>
      </c>
      <c r="AK28" s="596">
        <f t="shared" si="3"/>
        <v>0</v>
      </c>
      <c r="AL28" s="596">
        <f t="shared" si="3"/>
        <v>0</v>
      </c>
      <c r="AM28" s="596">
        <f t="shared" si="3"/>
        <v>0</v>
      </c>
      <c r="AN28" s="596">
        <f t="shared" si="3"/>
        <v>0</v>
      </c>
      <c r="AO28" s="596">
        <f t="shared" si="3"/>
        <v>0</v>
      </c>
      <c r="AP28" s="596">
        <f t="shared" si="3"/>
        <v>0</v>
      </c>
      <c r="AQ28" s="596">
        <f t="shared" si="4"/>
        <v>0</v>
      </c>
      <c r="AR28" s="596">
        <f t="shared" si="4"/>
        <v>0</v>
      </c>
      <c r="AS28" s="596">
        <f t="shared" si="4"/>
        <v>0</v>
      </c>
      <c r="AT28" s="596">
        <f t="shared" si="4"/>
        <v>0</v>
      </c>
      <c r="AU28" s="596">
        <f t="shared" si="4"/>
        <v>0</v>
      </c>
      <c r="AV28" s="596">
        <f t="shared" si="4"/>
        <v>0</v>
      </c>
      <c r="AW28" s="596">
        <f t="shared" si="4"/>
        <v>0</v>
      </c>
      <c r="AX28" s="596">
        <f t="shared" si="4"/>
        <v>0</v>
      </c>
      <c r="AY28" s="596">
        <f t="shared" si="4"/>
        <v>0</v>
      </c>
      <c r="AZ28" s="596">
        <f t="shared" si="4"/>
        <v>0</v>
      </c>
      <c r="BA28" s="596">
        <f t="shared" si="4"/>
        <v>0</v>
      </c>
      <c r="BB28" s="596">
        <f t="shared" si="4"/>
        <v>0</v>
      </c>
      <c r="BC28" s="596">
        <f t="shared" si="4"/>
        <v>0</v>
      </c>
      <c r="BD28" s="596">
        <f t="shared" si="4"/>
        <v>0</v>
      </c>
      <c r="BE28" s="596">
        <f t="shared" si="4"/>
        <v>0</v>
      </c>
      <c r="BF28" s="596">
        <f t="shared" si="4"/>
        <v>0</v>
      </c>
      <c r="BG28" s="596">
        <f t="shared" si="5"/>
        <v>0</v>
      </c>
      <c r="BH28" s="598">
        <f t="shared" si="5"/>
        <v>0</v>
      </c>
    </row>
    <row r="29" spans="2:60" x14ac:dyDescent="0.25">
      <c r="B29" s="570" t="s">
        <v>1510</v>
      </c>
      <c r="C29" s="593">
        <f>'Input data'!C26</f>
        <v>0</v>
      </c>
      <c r="D29" s="594" t="s">
        <v>1511</v>
      </c>
      <c r="E29" s="595">
        <f>'Input data'!C18*12</f>
        <v>0</v>
      </c>
      <c r="F29" s="524" t="s">
        <v>1503</v>
      </c>
      <c r="G29" s="583"/>
      <c r="H29" s="583"/>
      <c r="J29" s="522"/>
      <c r="K29" s="596">
        <f t="shared" si="2"/>
        <v>0</v>
      </c>
      <c r="L29" s="596">
        <f t="shared" si="2"/>
        <v>0</v>
      </c>
      <c r="M29" s="596">
        <f t="shared" si="2"/>
        <v>0</v>
      </c>
      <c r="N29" s="596">
        <f t="shared" si="2"/>
        <v>0</v>
      </c>
      <c r="O29" s="596">
        <f t="shared" si="2"/>
        <v>0</v>
      </c>
      <c r="P29" s="596">
        <f t="shared" si="2"/>
        <v>0</v>
      </c>
      <c r="Q29" s="596">
        <f t="shared" si="2"/>
        <v>0</v>
      </c>
      <c r="R29" s="596">
        <f t="shared" si="2"/>
        <v>0</v>
      </c>
      <c r="S29" s="596">
        <f t="shared" si="2"/>
        <v>0</v>
      </c>
      <c r="T29" s="596">
        <f t="shared" si="2"/>
        <v>0</v>
      </c>
      <c r="U29" s="596">
        <f t="shared" si="2"/>
        <v>0</v>
      </c>
      <c r="V29" s="596">
        <f t="shared" si="2"/>
        <v>0</v>
      </c>
      <c r="W29" s="596">
        <f t="shared" si="2"/>
        <v>0</v>
      </c>
      <c r="X29" s="596">
        <f t="shared" si="2"/>
        <v>0</v>
      </c>
      <c r="Y29" s="596">
        <f t="shared" si="2"/>
        <v>0</v>
      </c>
      <c r="Z29" s="596">
        <f t="shared" si="2"/>
        <v>0</v>
      </c>
      <c r="AA29" s="596">
        <f t="shared" si="3"/>
        <v>0</v>
      </c>
      <c r="AB29" s="596">
        <f t="shared" si="3"/>
        <v>0</v>
      </c>
      <c r="AC29" s="596">
        <f t="shared" si="3"/>
        <v>0</v>
      </c>
      <c r="AD29" s="596">
        <f t="shared" si="3"/>
        <v>0</v>
      </c>
      <c r="AE29" s="596">
        <f t="shared" si="3"/>
        <v>0</v>
      </c>
      <c r="AF29" s="596">
        <f t="shared" si="3"/>
        <v>0</v>
      </c>
      <c r="AG29" s="596">
        <f t="shared" si="3"/>
        <v>0</v>
      </c>
      <c r="AH29" s="596">
        <f t="shared" si="3"/>
        <v>0</v>
      </c>
      <c r="AI29" s="596">
        <f t="shared" si="3"/>
        <v>0</v>
      </c>
      <c r="AJ29" s="596">
        <f t="shared" si="3"/>
        <v>0</v>
      </c>
      <c r="AK29" s="596">
        <f t="shared" si="3"/>
        <v>0</v>
      </c>
      <c r="AL29" s="596">
        <f t="shared" si="3"/>
        <v>0</v>
      </c>
      <c r="AM29" s="596">
        <f t="shared" si="3"/>
        <v>0</v>
      </c>
      <c r="AN29" s="596">
        <f t="shared" si="3"/>
        <v>0</v>
      </c>
      <c r="AO29" s="596">
        <f t="shared" si="3"/>
        <v>0</v>
      </c>
      <c r="AP29" s="596">
        <f t="shared" si="3"/>
        <v>0</v>
      </c>
      <c r="AQ29" s="596">
        <f t="shared" si="4"/>
        <v>0</v>
      </c>
      <c r="AR29" s="596">
        <f t="shared" si="4"/>
        <v>0</v>
      </c>
      <c r="AS29" s="596">
        <f t="shared" si="4"/>
        <v>0</v>
      </c>
      <c r="AT29" s="596">
        <f t="shared" si="4"/>
        <v>0</v>
      </c>
      <c r="AU29" s="596">
        <f t="shared" si="4"/>
        <v>0</v>
      </c>
      <c r="AV29" s="596">
        <f t="shared" si="4"/>
        <v>0</v>
      </c>
      <c r="AW29" s="596">
        <f t="shared" si="4"/>
        <v>0</v>
      </c>
      <c r="AX29" s="596">
        <f t="shared" si="4"/>
        <v>0</v>
      </c>
      <c r="AY29" s="596">
        <f t="shared" si="4"/>
        <v>0</v>
      </c>
      <c r="AZ29" s="596">
        <f t="shared" si="4"/>
        <v>0</v>
      </c>
      <c r="BA29" s="596">
        <f t="shared" si="4"/>
        <v>0</v>
      </c>
      <c r="BB29" s="596">
        <f t="shared" si="4"/>
        <v>0</v>
      </c>
      <c r="BC29" s="596">
        <f t="shared" si="4"/>
        <v>0</v>
      </c>
      <c r="BD29" s="596">
        <f t="shared" si="4"/>
        <v>0</v>
      </c>
      <c r="BE29" s="596">
        <f t="shared" si="4"/>
        <v>0</v>
      </c>
      <c r="BF29" s="596">
        <f t="shared" si="4"/>
        <v>0</v>
      </c>
      <c r="BG29" s="596">
        <f t="shared" si="5"/>
        <v>0</v>
      </c>
      <c r="BH29" s="598">
        <f t="shared" si="5"/>
        <v>0</v>
      </c>
    </row>
    <row r="30" spans="2:60" x14ac:dyDescent="0.25">
      <c r="B30" s="570" t="s">
        <v>1512</v>
      </c>
      <c r="C30" s="583"/>
      <c r="D30" s="594" t="s">
        <v>21</v>
      </c>
      <c r="E30" s="589"/>
      <c r="F30" s="524" t="s">
        <v>1503</v>
      </c>
      <c r="G30" s="583"/>
      <c r="H30" s="583"/>
      <c r="J30" s="522"/>
      <c r="K30" s="596">
        <f t="shared" si="2"/>
        <v>0</v>
      </c>
      <c r="L30" s="596">
        <f t="shared" si="2"/>
        <v>0</v>
      </c>
      <c r="M30" s="596">
        <f t="shared" si="2"/>
        <v>0</v>
      </c>
      <c r="N30" s="596">
        <f t="shared" si="2"/>
        <v>0</v>
      </c>
      <c r="O30" s="596">
        <f t="shared" si="2"/>
        <v>0</v>
      </c>
      <c r="P30" s="596">
        <f t="shared" si="2"/>
        <v>0</v>
      </c>
      <c r="Q30" s="596">
        <f t="shared" si="2"/>
        <v>0</v>
      </c>
      <c r="R30" s="596">
        <f t="shared" si="2"/>
        <v>0</v>
      </c>
      <c r="S30" s="596">
        <f t="shared" si="2"/>
        <v>0</v>
      </c>
      <c r="T30" s="596">
        <f t="shared" si="2"/>
        <v>0</v>
      </c>
      <c r="U30" s="596">
        <f t="shared" si="2"/>
        <v>0</v>
      </c>
      <c r="V30" s="596">
        <f t="shared" si="2"/>
        <v>0</v>
      </c>
      <c r="W30" s="596">
        <f t="shared" si="2"/>
        <v>0</v>
      </c>
      <c r="X30" s="596">
        <f t="shared" si="2"/>
        <v>0</v>
      </c>
      <c r="Y30" s="596">
        <f t="shared" si="2"/>
        <v>0</v>
      </c>
      <c r="Z30" s="596">
        <f t="shared" si="2"/>
        <v>0</v>
      </c>
      <c r="AA30" s="596">
        <f t="shared" si="3"/>
        <v>0</v>
      </c>
      <c r="AB30" s="596">
        <f t="shared" si="3"/>
        <v>0</v>
      </c>
      <c r="AC30" s="596">
        <f t="shared" si="3"/>
        <v>0</v>
      </c>
      <c r="AD30" s="596">
        <f t="shared" si="3"/>
        <v>0</v>
      </c>
      <c r="AE30" s="596">
        <f t="shared" si="3"/>
        <v>0</v>
      </c>
      <c r="AF30" s="596">
        <f t="shared" si="3"/>
        <v>0</v>
      </c>
      <c r="AG30" s="596">
        <f t="shared" si="3"/>
        <v>0</v>
      </c>
      <c r="AH30" s="596">
        <f t="shared" si="3"/>
        <v>0</v>
      </c>
      <c r="AI30" s="596">
        <f t="shared" si="3"/>
        <v>0</v>
      </c>
      <c r="AJ30" s="596">
        <f t="shared" si="3"/>
        <v>0</v>
      </c>
      <c r="AK30" s="596">
        <f t="shared" si="3"/>
        <v>0</v>
      </c>
      <c r="AL30" s="596">
        <f t="shared" si="3"/>
        <v>0</v>
      </c>
      <c r="AM30" s="596">
        <f t="shared" si="3"/>
        <v>0</v>
      </c>
      <c r="AN30" s="596">
        <f t="shared" si="3"/>
        <v>0</v>
      </c>
      <c r="AO30" s="596">
        <f t="shared" si="3"/>
        <v>0</v>
      </c>
      <c r="AP30" s="596">
        <f t="shared" si="3"/>
        <v>0</v>
      </c>
      <c r="AQ30" s="596">
        <f t="shared" si="4"/>
        <v>0</v>
      </c>
      <c r="AR30" s="596">
        <f t="shared" si="4"/>
        <v>0</v>
      </c>
      <c r="AS30" s="596">
        <f t="shared" si="4"/>
        <v>0</v>
      </c>
      <c r="AT30" s="596">
        <f t="shared" si="4"/>
        <v>0</v>
      </c>
      <c r="AU30" s="596">
        <f t="shared" si="4"/>
        <v>0</v>
      </c>
      <c r="AV30" s="596">
        <f t="shared" si="4"/>
        <v>0</v>
      </c>
      <c r="AW30" s="596">
        <f t="shared" si="4"/>
        <v>0</v>
      </c>
      <c r="AX30" s="596">
        <f t="shared" si="4"/>
        <v>0</v>
      </c>
      <c r="AY30" s="596">
        <f t="shared" si="4"/>
        <v>0</v>
      </c>
      <c r="AZ30" s="596">
        <f t="shared" si="4"/>
        <v>0</v>
      </c>
      <c r="BA30" s="596">
        <f t="shared" si="4"/>
        <v>0</v>
      </c>
      <c r="BB30" s="596">
        <f t="shared" si="4"/>
        <v>0</v>
      </c>
      <c r="BC30" s="596">
        <f t="shared" si="4"/>
        <v>0</v>
      </c>
      <c r="BD30" s="596">
        <f t="shared" si="4"/>
        <v>0</v>
      </c>
      <c r="BE30" s="596">
        <f t="shared" si="4"/>
        <v>0</v>
      </c>
      <c r="BF30" s="596">
        <f t="shared" si="4"/>
        <v>0</v>
      </c>
      <c r="BG30" s="596">
        <f t="shared" si="5"/>
        <v>0</v>
      </c>
      <c r="BH30" s="598">
        <f t="shared" si="5"/>
        <v>0</v>
      </c>
    </row>
    <row r="31" spans="2:60" x14ac:dyDescent="0.25">
      <c r="B31" s="570" t="s">
        <v>482</v>
      </c>
      <c r="C31" s="583"/>
      <c r="D31" s="594" t="s">
        <v>1162</v>
      </c>
      <c r="E31" s="589"/>
      <c r="F31" s="524" t="s">
        <v>1503</v>
      </c>
      <c r="G31" s="583"/>
      <c r="H31" s="583"/>
      <c r="J31" s="522"/>
      <c r="K31" s="596">
        <f t="shared" si="2"/>
        <v>0</v>
      </c>
      <c r="L31" s="596">
        <f t="shared" si="2"/>
        <v>0</v>
      </c>
      <c r="M31" s="596">
        <f t="shared" si="2"/>
        <v>0</v>
      </c>
      <c r="N31" s="596">
        <f t="shared" si="2"/>
        <v>0</v>
      </c>
      <c r="O31" s="596">
        <f t="shared" si="2"/>
        <v>0</v>
      </c>
      <c r="P31" s="596">
        <f t="shared" si="2"/>
        <v>0</v>
      </c>
      <c r="Q31" s="596">
        <f t="shared" si="2"/>
        <v>0</v>
      </c>
      <c r="R31" s="596">
        <f t="shared" si="2"/>
        <v>0</v>
      </c>
      <c r="S31" s="596">
        <f t="shared" si="2"/>
        <v>0</v>
      </c>
      <c r="T31" s="596">
        <f t="shared" si="2"/>
        <v>0</v>
      </c>
      <c r="U31" s="596">
        <f t="shared" si="2"/>
        <v>0</v>
      </c>
      <c r="V31" s="596">
        <f t="shared" si="2"/>
        <v>0</v>
      </c>
      <c r="W31" s="596">
        <f t="shared" si="2"/>
        <v>0</v>
      </c>
      <c r="X31" s="596">
        <f t="shared" si="2"/>
        <v>0</v>
      </c>
      <c r="Y31" s="596">
        <f t="shared" si="2"/>
        <v>0</v>
      </c>
      <c r="Z31" s="596">
        <f t="shared" si="2"/>
        <v>0</v>
      </c>
      <c r="AA31" s="596">
        <f t="shared" si="3"/>
        <v>0</v>
      </c>
      <c r="AB31" s="596">
        <f t="shared" si="3"/>
        <v>0</v>
      </c>
      <c r="AC31" s="596">
        <f t="shared" si="3"/>
        <v>0</v>
      </c>
      <c r="AD31" s="596">
        <f t="shared" si="3"/>
        <v>0</v>
      </c>
      <c r="AE31" s="596">
        <f t="shared" si="3"/>
        <v>0</v>
      </c>
      <c r="AF31" s="596">
        <f t="shared" si="3"/>
        <v>0</v>
      </c>
      <c r="AG31" s="596">
        <f t="shared" si="3"/>
        <v>0</v>
      </c>
      <c r="AH31" s="596">
        <f t="shared" si="3"/>
        <v>0</v>
      </c>
      <c r="AI31" s="596">
        <f t="shared" si="3"/>
        <v>0</v>
      </c>
      <c r="AJ31" s="596">
        <f t="shared" si="3"/>
        <v>0</v>
      </c>
      <c r="AK31" s="596">
        <f t="shared" si="3"/>
        <v>0</v>
      </c>
      <c r="AL31" s="596">
        <f t="shared" si="3"/>
        <v>0</v>
      </c>
      <c r="AM31" s="596">
        <f t="shared" si="3"/>
        <v>0</v>
      </c>
      <c r="AN31" s="596">
        <f t="shared" si="3"/>
        <v>0</v>
      </c>
      <c r="AO31" s="596">
        <f t="shared" si="3"/>
        <v>0</v>
      </c>
      <c r="AP31" s="596">
        <f t="shared" si="3"/>
        <v>0</v>
      </c>
      <c r="AQ31" s="596">
        <f t="shared" si="4"/>
        <v>0</v>
      </c>
      <c r="AR31" s="596">
        <f t="shared" si="4"/>
        <v>0</v>
      </c>
      <c r="AS31" s="596">
        <f t="shared" si="4"/>
        <v>0</v>
      </c>
      <c r="AT31" s="596">
        <f t="shared" si="4"/>
        <v>0</v>
      </c>
      <c r="AU31" s="596">
        <f t="shared" si="4"/>
        <v>0</v>
      </c>
      <c r="AV31" s="596">
        <f t="shared" si="4"/>
        <v>0</v>
      </c>
      <c r="AW31" s="596">
        <f t="shared" si="4"/>
        <v>0</v>
      </c>
      <c r="AX31" s="596">
        <f t="shared" si="4"/>
        <v>0</v>
      </c>
      <c r="AY31" s="596">
        <f t="shared" si="4"/>
        <v>0</v>
      </c>
      <c r="AZ31" s="596">
        <f t="shared" si="4"/>
        <v>0</v>
      </c>
      <c r="BA31" s="596">
        <f t="shared" si="4"/>
        <v>0</v>
      </c>
      <c r="BB31" s="596">
        <f t="shared" si="4"/>
        <v>0</v>
      </c>
      <c r="BC31" s="596">
        <f t="shared" si="4"/>
        <v>0</v>
      </c>
      <c r="BD31" s="596">
        <f t="shared" si="4"/>
        <v>0</v>
      </c>
      <c r="BE31" s="596">
        <f t="shared" si="4"/>
        <v>0</v>
      </c>
      <c r="BF31" s="596">
        <f t="shared" si="4"/>
        <v>0</v>
      </c>
      <c r="BG31" s="596">
        <f t="shared" si="5"/>
        <v>0</v>
      </c>
      <c r="BH31" s="598">
        <f t="shared" si="5"/>
        <v>0</v>
      </c>
    </row>
    <row r="32" spans="2:60" x14ac:dyDescent="0.25">
      <c r="B32" s="570" t="s">
        <v>1647</v>
      </c>
      <c r="C32" s="583">
        <f>F18*0.9</f>
        <v>0</v>
      </c>
      <c r="D32" s="594"/>
      <c r="E32" s="801" t="e">
        <f>1/D3</f>
        <v>#DIV/0!</v>
      </c>
      <c r="F32" s="524" t="s">
        <v>38</v>
      </c>
      <c r="G32" s="583"/>
      <c r="H32" s="583"/>
      <c r="J32" s="522"/>
      <c r="K32" s="596">
        <f>IF(K$21&gt;$H32,0,IF(K$21&lt;$G32,0,$C32*$E32))</f>
        <v>0</v>
      </c>
      <c r="L32" s="596">
        <f t="shared" si="2"/>
        <v>0</v>
      </c>
      <c r="M32" s="596">
        <f t="shared" si="2"/>
        <v>0</v>
      </c>
      <c r="N32" s="596">
        <f t="shared" si="2"/>
        <v>0</v>
      </c>
      <c r="O32" s="596">
        <f t="shared" si="2"/>
        <v>0</v>
      </c>
      <c r="P32" s="596">
        <f t="shared" si="2"/>
        <v>0</v>
      </c>
      <c r="Q32" s="596">
        <f t="shared" si="2"/>
        <v>0</v>
      </c>
      <c r="R32" s="596">
        <f t="shared" si="2"/>
        <v>0</v>
      </c>
      <c r="S32" s="596">
        <f t="shared" si="2"/>
        <v>0</v>
      </c>
      <c r="T32" s="596">
        <f t="shared" si="2"/>
        <v>0</v>
      </c>
      <c r="U32" s="596">
        <f t="shared" si="2"/>
        <v>0</v>
      </c>
      <c r="V32" s="596">
        <f t="shared" si="2"/>
        <v>0</v>
      </c>
      <c r="W32" s="596">
        <f t="shared" si="2"/>
        <v>0</v>
      </c>
      <c r="X32" s="596">
        <f t="shared" si="2"/>
        <v>0</v>
      </c>
      <c r="Y32" s="596">
        <f t="shared" si="2"/>
        <v>0</v>
      </c>
      <c r="Z32" s="596">
        <f t="shared" si="2"/>
        <v>0</v>
      </c>
      <c r="AA32" s="596">
        <f t="shared" si="3"/>
        <v>0</v>
      </c>
      <c r="AB32" s="596">
        <f t="shared" si="3"/>
        <v>0</v>
      </c>
      <c r="AC32" s="596">
        <f t="shared" si="3"/>
        <v>0</v>
      </c>
      <c r="AD32" s="596">
        <f t="shared" si="3"/>
        <v>0</v>
      </c>
      <c r="AE32" s="596">
        <f t="shared" si="3"/>
        <v>0</v>
      </c>
      <c r="AF32" s="596">
        <f t="shared" si="3"/>
        <v>0</v>
      </c>
      <c r="AG32" s="596">
        <f t="shared" si="3"/>
        <v>0</v>
      </c>
      <c r="AH32" s="596">
        <f t="shared" si="3"/>
        <v>0</v>
      </c>
      <c r="AI32" s="596">
        <f t="shared" si="3"/>
        <v>0</v>
      </c>
      <c r="AJ32" s="596">
        <f t="shared" si="3"/>
        <v>0</v>
      </c>
      <c r="AK32" s="596">
        <f t="shared" si="3"/>
        <v>0</v>
      </c>
      <c r="AL32" s="596">
        <f t="shared" si="3"/>
        <v>0</v>
      </c>
      <c r="AM32" s="596">
        <f t="shared" si="3"/>
        <v>0</v>
      </c>
      <c r="AN32" s="596">
        <f t="shared" si="3"/>
        <v>0</v>
      </c>
      <c r="AO32" s="596">
        <f t="shared" si="3"/>
        <v>0</v>
      </c>
      <c r="AP32" s="596">
        <f t="shared" si="3"/>
        <v>0</v>
      </c>
      <c r="AQ32" s="596">
        <f t="shared" si="4"/>
        <v>0</v>
      </c>
      <c r="AR32" s="596">
        <f t="shared" si="4"/>
        <v>0</v>
      </c>
      <c r="AS32" s="596">
        <f t="shared" si="4"/>
        <v>0</v>
      </c>
      <c r="AT32" s="596">
        <f t="shared" si="4"/>
        <v>0</v>
      </c>
      <c r="AU32" s="596">
        <f t="shared" si="4"/>
        <v>0</v>
      </c>
      <c r="AV32" s="596">
        <f t="shared" si="4"/>
        <v>0</v>
      </c>
      <c r="AW32" s="596">
        <f t="shared" si="4"/>
        <v>0</v>
      </c>
      <c r="AX32" s="596">
        <f t="shared" si="4"/>
        <v>0</v>
      </c>
      <c r="AY32" s="596">
        <f t="shared" si="4"/>
        <v>0</v>
      </c>
      <c r="AZ32" s="596">
        <f t="shared" si="4"/>
        <v>0</v>
      </c>
      <c r="BA32" s="596">
        <f t="shared" si="4"/>
        <v>0</v>
      </c>
      <c r="BB32" s="596">
        <f t="shared" si="4"/>
        <v>0</v>
      </c>
      <c r="BC32" s="596">
        <f t="shared" si="4"/>
        <v>0</v>
      </c>
      <c r="BD32" s="596">
        <f t="shared" si="4"/>
        <v>0</v>
      </c>
      <c r="BE32" s="596">
        <f t="shared" si="4"/>
        <v>0</v>
      </c>
      <c r="BF32" s="596">
        <f t="shared" si="4"/>
        <v>0</v>
      </c>
      <c r="BG32" s="596">
        <f t="shared" si="5"/>
        <v>0</v>
      </c>
      <c r="BH32" s="598">
        <f t="shared" si="5"/>
        <v>0</v>
      </c>
    </row>
    <row r="33" spans="2:60" x14ac:dyDescent="0.25">
      <c r="B33" s="570"/>
      <c r="C33" s="583"/>
      <c r="D33" s="524"/>
      <c r="E33" s="589"/>
      <c r="F33" s="524" t="s">
        <v>1503</v>
      </c>
      <c r="G33" s="583"/>
      <c r="H33" s="583"/>
      <c r="J33" s="522"/>
      <c r="K33" s="596">
        <f t="shared" si="2"/>
        <v>0</v>
      </c>
      <c r="L33" s="596">
        <f t="shared" si="2"/>
        <v>0</v>
      </c>
      <c r="M33" s="596">
        <f t="shared" si="2"/>
        <v>0</v>
      </c>
      <c r="N33" s="596">
        <f t="shared" si="2"/>
        <v>0</v>
      </c>
      <c r="O33" s="596">
        <f t="shared" si="2"/>
        <v>0</v>
      </c>
      <c r="P33" s="596">
        <f t="shared" si="2"/>
        <v>0</v>
      </c>
      <c r="Q33" s="596">
        <f t="shared" si="2"/>
        <v>0</v>
      </c>
      <c r="R33" s="596">
        <f t="shared" si="2"/>
        <v>0</v>
      </c>
      <c r="S33" s="596">
        <f t="shared" si="2"/>
        <v>0</v>
      </c>
      <c r="T33" s="596">
        <f t="shared" si="2"/>
        <v>0</v>
      </c>
      <c r="U33" s="596">
        <f t="shared" si="2"/>
        <v>0</v>
      </c>
      <c r="V33" s="596">
        <f t="shared" si="2"/>
        <v>0</v>
      </c>
      <c r="W33" s="596">
        <f t="shared" si="2"/>
        <v>0</v>
      </c>
      <c r="X33" s="596">
        <f t="shared" si="2"/>
        <v>0</v>
      </c>
      <c r="Y33" s="596">
        <f t="shared" si="2"/>
        <v>0</v>
      </c>
      <c r="Z33" s="596">
        <f t="shared" si="2"/>
        <v>0</v>
      </c>
      <c r="AA33" s="596">
        <f t="shared" si="3"/>
        <v>0</v>
      </c>
      <c r="AB33" s="596">
        <f t="shared" si="3"/>
        <v>0</v>
      </c>
      <c r="AC33" s="596">
        <f t="shared" si="3"/>
        <v>0</v>
      </c>
      <c r="AD33" s="596">
        <f t="shared" si="3"/>
        <v>0</v>
      </c>
      <c r="AE33" s="596">
        <f t="shared" si="3"/>
        <v>0</v>
      </c>
      <c r="AF33" s="596">
        <f t="shared" si="3"/>
        <v>0</v>
      </c>
      <c r="AG33" s="596">
        <f t="shared" si="3"/>
        <v>0</v>
      </c>
      <c r="AH33" s="596">
        <f t="shared" si="3"/>
        <v>0</v>
      </c>
      <c r="AI33" s="596">
        <f t="shared" si="3"/>
        <v>0</v>
      </c>
      <c r="AJ33" s="596">
        <f t="shared" si="3"/>
        <v>0</v>
      </c>
      <c r="AK33" s="596">
        <f t="shared" si="3"/>
        <v>0</v>
      </c>
      <c r="AL33" s="596">
        <f t="shared" si="3"/>
        <v>0</v>
      </c>
      <c r="AM33" s="596">
        <f t="shared" si="3"/>
        <v>0</v>
      </c>
      <c r="AN33" s="596">
        <f t="shared" si="3"/>
        <v>0</v>
      </c>
      <c r="AO33" s="596">
        <f t="shared" si="3"/>
        <v>0</v>
      </c>
      <c r="AP33" s="596">
        <f t="shared" si="3"/>
        <v>0</v>
      </c>
      <c r="AQ33" s="596">
        <f t="shared" si="4"/>
        <v>0</v>
      </c>
      <c r="AR33" s="596">
        <f t="shared" si="4"/>
        <v>0</v>
      </c>
      <c r="AS33" s="596">
        <f t="shared" si="4"/>
        <v>0</v>
      </c>
      <c r="AT33" s="596">
        <f t="shared" si="4"/>
        <v>0</v>
      </c>
      <c r="AU33" s="596">
        <f t="shared" si="4"/>
        <v>0</v>
      </c>
      <c r="AV33" s="596">
        <f t="shared" si="4"/>
        <v>0</v>
      </c>
      <c r="AW33" s="596">
        <f t="shared" si="4"/>
        <v>0</v>
      </c>
      <c r="AX33" s="596">
        <f t="shared" si="4"/>
        <v>0</v>
      </c>
      <c r="AY33" s="596">
        <f t="shared" si="4"/>
        <v>0</v>
      </c>
      <c r="AZ33" s="596">
        <f t="shared" si="4"/>
        <v>0</v>
      </c>
      <c r="BA33" s="596">
        <f t="shared" si="4"/>
        <v>0</v>
      </c>
      <c r="BB33" s="596">
        <f t="shared" si="4"/>
        <v>0</v>
      </c>
      <c r="BC33" s="596">
        <f t="shared" si="4"/>
        <v>0</v>
      </c>
      <c r="BD33" s="596">
        <f t="shared" si="4"/>
        <v>0</v>
      </c>
      <c r="BE33" s="596">
        <f t="shared" si="4"/>
        <v>0</v>
      </c>
      <c r="BF33" s="596">
        <f t="shared" si="4"/>
        <v>0</v>
      </c>
      <c r="BG33" s="596">
        <f t="shared" si="5"/>
        <v>0</v>
      </c>
      <c r="BH33" s="598">
        <f t="shared" si="5"/>
        <v>0</v>
      </c>
    </row>
    <row r="34" spans="2:60" x14ac:dyDescent="0.25">
      <c r="B34" s="570"/>
      <c r="C34" s="583"/>
      <c r="D34" s="524"/>
      <c r="E34" s="589"/>
      <c r="F34" s="524" t="s">
        <v>1503</v>
      </c>
      <c r="G34" s="583"/>
      <c r="H34" s="583"/>
      <c r="J34" s="522"/>
      <c r="K34" s="596">
        <f t="shared" si="2"/>
        <v>0</v>
      </c>
      <c r="L34" s="596">
        <f t="shared" si="2"/>
        <v>0</v>
      </c>
      <c r="M34" s="596">
        <f t="shared" si="2"/>
        <v>0</v>
      </c>
      <c r="N34" s="596">
        <f t="shared" si="2"/>
        <v>0</v>
      </c>
      <c r="O34" s="596">
        <f t="shared" si="2"/>
        <v>0</v>
      </c>
      <c r="P34" s="596">
        <f t="shared" si="2"/>
        <v>0</v>
      </c>
      <c r="Q34" s="596">
        <f t="shared" si="2"/>
        <v>0</v>
      </c>
      <c r="R34" s="596">
        <f t="shared" si="2"/>
        <v>0</v>
      </c>
      <c r="S34" s="596">
        <f t="shared" si="2"/>
        <v>0</v>
      </c>
      <c r="T34" s="596">
        <f t="shared" si="2"/>
        <v>0</v>
      </c>
      <c r="U34" s="596">
        <f t="shared" si="2"/>
        <v>0</v>
      </c>
      <c r="V34" s="596">
        <f t="shared" si="2"/>
        <v>0</v>
      </c>
      <c r="W34" s="596">
        <f t="shared" si="2"/>
        <v>0</v>
      </c>
      <c r="X34" s="596">
        <f t="shared" si="2"/>
        <v>0</v>
      </c>
      <c r="Y34" s="596">
        <f t="shared" si="2"/>
        <v>0</v>
      </c>
      <c r="Z34" s="596">
        <f t="shared" si="2"/>
        <v>0</v>
      </c>
      <c r="AA34" s="596">
        <f t="shared" si="3"/>
        <v>0</v>
      </c>
      <c r="AB34" s="596">
        <f t="shared" si="3"/>
        <v>0</v>
      </c>
      <c r="AC34" s="596">
        <f t="shared" si="3"/>
        <v>0</v>
      </c>
      <c r="AD34" s="596">
        <f t="shared" si="3"/>
        <v>0</v>
      </c>
      <c r="AE34" s="596">
        <f t="shared" si="3"/>
        <v>0</v>
      </c>
      <c r="AF34" s="596">
        <f t="shared" si="3"/>
        <v>0</v>
      </c>
      <c r="AG34" s="596">
        <f t="shared" si="3"/>
        <v>0</v>
      </c>
      <c r="AH34" s="596">
        <f t="shared" si="3"/>
        <v>0</v>
      </c>
      <c r="AI34" s="596">
        <f t="shared" si="3"/>
        <v>0</v>
      </c>
      <c r="AJ34" s="596">
        <f t="shared" si="3"/>
        <v>0</v>
      </c>
      <c r="AK34" s="596">
        <f t="shared" si="3"/>
        <v>0</v>
      </c>
      <c r="AL34" s="596">
        <f t="shared" si="3"/>
        <v>0</v>
      </c>
      <c r="AM34" s="596">
        <f t="shared" si="3"/>
        <v>0</v>
      </c>
      <c r="AN34" s="596">
        <f t="shared" si="3"/>
        <v>0</v>
      </c>
      <c r="AO34" s="596">
        <f t="shared" si="3"/>
        <v>0</v>
      </c>
      <c r="AP34" s="596">
        <f t="shared" si="3"/>
        <v>0</v>
      </c>
      <c r="AQ34" s="596">
        <f t="shared" si="4"/>
        <v>0</v>
      </c>
      <c r="AR34" s="596">
        <f t="shared" si="4"/>
        <v>0</v>
      </c>
      <c r="AS34" s="596">
        <f t="shared" si="4"/>
        <v>0</v>
      </c>
      <c r="AT34" s="596">
        <f t="shared" si="4"/>
        <v>0</v>
      </c>
      <c r="AU34" s="596">
        <f t="shared" si="4"/>
        <v>0</v>
      </c>
      <c r="AV34" s="596">
        <f t="shared" si="4"/>
        <v>0</v>
      </c>
      <c r="AW34" s="596">
        <f t="shared" si="4"/>
        <v>0</v>
      </c>
      <c r="AX34" s="596">
        <f t="shared" si="4"/>
        <v>0</v>
      </c>
      <c r="AY34" s="596">
        <f t="shared" si="4"/>
        <v>0</v>
      </c>
      <c r="AZ34" s="596">
        <f t="shared" si="4"/>
        <v>0</v>
      </c>
      <c r="BA34" s="596">
        <f t="shared" si="4"/>
        <v>0</v>
      </c>
      <c r="BB34" s="596">
        <f t="shared" si="4"/>
        <v>0</v>
      </c>
      <c r="BC34" s="596">
        <f t="shared" si="4"/>
        <v>0</v>
      </c>
      <c r="BD34" s="596">
        <f t="shared" si="4"/>
        <v>0</v>
      </c>
      <c r="BE34" s="596">
        <f t="shared" si="4"/>
        <v>0</v>
      </c>
      <c r="BF34" s="596">
        <f t="shared" si="4"/>
        <v>0</v>
      </c>
      <c r="BG34" s="596">
        <f t="shared" si="5"/>
        <v>0</v>
      </c>
      <c r="BH34" s="598">
        <f t="shared" si="5"/>
        <v>0</v>
      </c>
    </row>
    <row r="35" spans="2:60" x14ac:dyDescent="0.25">
      <c r="B35" s="570"/>
      <c r="C35" s="583"/>
      <c r="D35" s="524"/>
      <c r="E35" s="589"/>
      <c r="F35" s="524" t="s">
        <v>1503</v>
      </c>
      <c r="G35" s="583"/>
      <c r="H35" s="583"/>
      <c r="J35" s="522"/>
      <c r="K35" s="596">
        <f t="shared" si="2"/>
        <v>0</v>
      </c>
      <c r="L35" s="596">
        <f t="shared" si="2"/>
        <v>0</v>
      </c>
      <c r="M35" s="596">
        <f t="shared" si="2"/>
        <v>0</v>
      </c>
      <c r="N35" s="596">
        <f t="shared" si="2"/>
        <v>0</v>
      </c>
      <c r="O35" s="596">
        <f t="shared" si="2"/>
        <v>0</v>
      </c>
      <c r="P35" s="596">
        <f t="shared" si="2"/>
        <v>0</v>
      </c>
      <c r="Q35" s="596">
        <f t="shared" si="2"/>
        <v>0</v>
      </c>
      <c r="R35" s="596">
        <f t="shared" si="2"/>
        <v>0</v>
      </c>
      <c r="S35" s="596">
        <f t="shared" si="2"/>
        <v>0</v>
      </c>
      <c r="T35" s="596">
        <f t="shared" si="2"/>
        <v>0</v>
      </c>
      <c r="U35" s="596">
        <f t="shared" si="2"/>
        <v>0</v>
      </c>
      <c r="V35" s="596">
        <f t="shared" si="2"/>
        <v>0</v>
      </c>
      <c r="W35" s="596">
        <f t="shared" si="2"/>
        <v>0</v>
      </c>
      <c r="X35" s="596">
        <f t="shared" si="2"/>
        <v>0</v>
      </c>
      <c r="Y35" s="596">
        <f t="shared" si="2"/>
        <v>0</v>
      </c>
      <c r="Z35" s="596">
        <f t="shared" si="2"/>
        <v>0</v>
      </c>
      <c r="AA35" s="596">
        <f t="shared" si="3"/>
        <v>0</v>
      </c>
      <c r="AB35" s="596">
        <f t="shared" si="3"/>
        <v>0</v>
      </c>
      <c r="AC35" s="596">
        <f t="shared" si="3"/>
        <v>0</v>
      </c>
      <c r="AD35" s="596">
        <f t="shared" si="3"/>
        <v>0</v>
      </c>
      <c r="AE35" s="596">
        <f t="shared" si="3"/>
        <v>0</v>
      </c>
      <c r="AF35" s="596">
        <f t="shared" si="3"/>
        <v>0</v>
      </c>
      <c r="AG35" s="596">
        <f t="shared" si="3"/>
        <v>0</v>
      </c>
      <c r="AH35" s="596">
        <f t="shared" si="3"/>
        <v>0</v>
      </c>
      <c r="AI35" s="596">
        <f t="shared" si="3"/>
        <v>0</v>
      </c>
      <c r="AJ35" s="596">
        <f t="shared" si="3"/>
        <v>0</v>
      </c>
      <c r="AK35" s="596">
        <f t="shared" si="3"/>
        <v>0</v>
      </c>
      <c r="AL35" s="596">
        <f t="shared" si="3"/>
        <v>0</v>
      </c>
      <c r="AM35" s="596">
        <f t="shared" si="3"/>
        <v>0</v>
      </c>
      <c r="AN35" s="596">
        <f t="shared" si="3"/>
        <v>0</v>
      </c>
      <c r="AO35" s="596">
        <f t="shared" si="3"/>
        <v>0</v>
      </c>
      <c r="AP35" s="596">
        <f t="shared" si="3"/>
        <v>0</v>
      </c>
      <c r="AQ35" s="596">
        <f t="shared" si="4"/>
        <v>0</v>
      </c>
      <c r="AR35" s="596">
        <f t="shared" si="4"/>
        <v>0</v>
      </c>
      <c r="AS35" s="596">
        <f t="shared" si="4"/>
        <v>0</v>
      </c>
      <c r="AT35" s="596">
        <f t="shared" si="4"/>
        <v>0</v>
      </c>
      <c r="AU35" s="596">
        <f t="shared" si="4"/>
        <v>0</v>
      </c>
      <c r="AV35" s="596">
        <f t="shared" si="4"/>
        <v>0</v>
      </c>
      <c r="AW35" s="596">
        <f t="shared" si="4"/>
        <v>0</v>
      </c>
      <c r="AX35" s="596">
        <f t="shared" si="4"/>
        <v>0</v>
      </c>
      <c r="AY35" s="596">
        <f t="shared" si="4"/>
        <v>0</v>
      </c>
      <c r="AZ35" s="596">
        <f t="shared" si="4"/>
        <v>0</v>
      </c>
      <c r="BA35" s="596">
        <f t="shared" si="4"/>
        <v>0</v>
      </c>
      <c r="BB35" s="596">
        <f t="shared" si="4"/>
        <v>0</v>
      </c>
      <c r="BC35" s="596">
        <f t="shared" si="4"/>
        <v>0</v>
      </c>
      <c r="BD35" s="596">
        <f t="shared" si="4"/>
        <v>0</v>
      </c>
      <c r="BE35" s="596">
        <f t="shared" si="4"/>
        <v>0</v>
      </c>
      <c r="BF35" s="596">
        <f t="shared" si="4"/>
        <v>0</v>
      </c>
      <c r="BG35" s="596">
        <f t="shared" si="5"/>
        <v>0</v>
      </c>
      <c r="BH35" s="598">
        <f t="shared" si="5"/>
        <v>0</v>
      </c>
    </row>
    <row r="36" spans="2:60" x14ac:dyDescent="0.25">
      <c r="B36" s="570"/>
      <c r="C36" s="583"/>
      <c r="D36" s="524"/>
      <c r="E36" s="589"/>
      <c r="F36" s="524" t="s">
        <v>1503</v>
      </c>
      <c r="G36" s="583"/>
      <c r="H36" s="583"/>
      <c r="J36" s="522"/>
      <c r="K36" s="596">
        <f t="shared" si="2"/>
        <v>0</v>
      </c>
      <c r="L36" s="596">
        <f t="shared" si="2"/>
        <v>0</v>
      </c>
      <c r="M36" s="596">
        <f t="shared" si="2"/>
        <v>0</v>
      </c>
      <c r="N36" s="596">
        <f t="shared" si="2"/>
        <v>0</v>
      </c>
      <c r="O36" s="596">
        <f t="shared" si="2"/>
        <v>0</v>
      </c>
      <c r="P36" s="596">
        <f t="shared" si="2"/>
        <v>0</v>
      </c>
      <c r="Q36" s="596">
        <f t="shared" si="2"/>
        <v>0</v>
      </c>
      <c r="R36" s="596">
        <f t="shared" si="2"/>
        <v>0</v>
      </c>
      <c r="S36" s="596">
        <f t="shared" si="2"/>
        <v>0</v>
      </c>
      <c r="T36" s="596">
        <f t="shared" si="2"/>
        <v>0</v>
      </c>
      <c r="U36" s="596">
        <f t="shared" si="2"/>
        <v>0</v>
      </c>
      <c r="V36" s="596">
        <f t="shared" si="2"/>
        <v>0</v>
      </c>
      <c r="W36" s="596">
        <f t="shared" si="2"/>
        <v>0</v>
      </c>
      <c r="X36" s="596">
        <f t="shared" si="2"/>
        <v>0</v>
      </c>
      <c r="Y36" s="596">
        <f t="shared" si="2"/>
        <v>0</v>
      </c>
      <c r="Z36" s="596">
        <f t="shared" ref="U36:AJ48" si="6">IF(Z$21&gt;$H36,0,IF(Z$21&lt;$G36,0,$C36*$E36))</f>
        <v>0</v>
      </c>
      <c r="AA36" s="596">
        <f t="shared" si="6"/>
        <v>0</v>
      </c>
      <c r="AB36" s="596">
        <f t="shared" si="6"/>
        <v>0</v>
      </c>
      <c r="AC36" s="596">
        <f t="shared" si="6"/>
        <v>0</v>
      </c>
      <c r="AD36" s="596">
        <f t="shared" si="6"/>
        <v>0</v>
      </c>
      <c r="AE36" s="596">
        <f t="shared" si="3"/>
        <v>0</v>
      </c>
      <c r="AF36" s="596">
        <f t="shared" si="3"/>
        <v>0</v>
      </c>
      <c r="AG36" s="596">
        <f t="shared" si="3"/>
        <v>0</v>
      </c>
      <c r="AH36" s="596">
        <f t="shared" si="3"/>
        <v>0</v>
      </c>
      <c r="AI36" s="596">
        <f t="shared" si="3"/>
        <v>0</v>
      </c>
      <c r="AJ36" s="596">
        <f t="shared" si="3"/>
        <v>0</v>
      </c>
      <c r="AK36" s="596">
        <f t="shared" si="3"/>
        <v>0</v>
      </c>
      <c r="AL36" s="596">
        <f t="shared" si="3"/>
        <v>0</v>
      </c>
      <c r="AM36" s="596">
        <f t="shared" si="3"/>
        <v>0</v>
      </c>
      <c r="AN36" s="596">
        <f t="shared" si="3"/>
        <v>0</v>
      </c>
      <c r="AO36" s="596">
        <f t="shared" si="3"/>
        <v>0</v>
      </c>
      <c r="AP36" s="596">
        <f t="shared" si="3"/>
        <v>0</v>
      </c>
      <c r="AQ36" s="596">
        <f t="shared" si="4"/>
        <v>0</v>
      </c>
      <c r="AR36" s="596">
        <f t="shared" si="4"/>
        <v>0</v>
      </c>
      <c r="AS36" s="596">
        <f t="shared" si="4"/>
        <v>0</v>
      </c>
      <c r="AT36" s="596">
        <f t="shared" si="4"/>
        <v>0</v>
      </c>
      <c r="AU36" s="596">
        <f t="shared" si="4"/>
        <v>0</v>
      </c>
      <c r="AV36" s="596">
        <f t="shared" si="4"/>
        <v>0</v>
      </c>
      <c r="AW36" s="596">
        <f t="shared" si="4"/>
        <v>0</v>
      </c>
      <c r="AX36" s="596">
        <f t="shared" si="4"/>
        <v>0</v>
      </c>
      <c r="AY36" s="596">
        <f t="shared" si="4"/>
        <v>0</v>
      </c>
      <c r="AZ36" s="596">
        <f t="shared" si="4"/>
        <v>0</v>
      </c>
      <c r="BA36" s="596">
        <f t="shared" si="4"/>
        <v>0</v>
      </c>
      <c r="BB36" s="596">
        <f t="shared" si="4"/>
        <v>0</v>
      </c>
      <c r="BC36" s="596">
        <f t="shared" si="4"/>
        <v>0</v>
      </c>
      <c r="BD36" s="596">
        <f t="shared" si="4"/>
        <v>0</v>
      </c>
      <c r="BE36" s="596">
        <f t="shared" si="4"/>
        <v>0</v>
      </c>
      <c r="BF36" s="596">
        <f t="shared" ref="BF36:BH36" si="7">IF(BF$21&gt;$H36,0,IF(BF$21&lt;$G36,0,$C36*$E36))</f>
        <v>0</v>
      </c>
      <c r="BG36" s="596">
        <f t="shared" si="7"/>
        <v>0</v>
      </c>
      <c r="BH36" s="598">
        <f t="shared" si="7"/>
        <v>0</v>
      </c>
    </row>
    <row r="37" spans="2:60" x14ac:dyDescent="0.25">
      <c r="B37" s="570"/>
      <c r="C37" s="583"/>
      <c r="D37" s="524"/>
      <c r="E37" s="589"/>
      <c r="F37" s="524" t="s">
        <v>1503</v>
      </c>
      <c r="G37" s="583"/>
      <c r="H37" s="583"/>
      <c r="J37" s="522"/>
      <c r="K37" s="596">
        <f t="shared" ref="K37:T48" si="8">IF(K$21&gt;$H37,0,IF(K$21&lt;$G37,0,$C37*$E37))</f>
        <v>0</v>
      </c>
      <c r="L37" s="596">
        <f t="shared" si="8"/>
        <v>0</v>
      </c>
      <c r="M37" s="596">
        <f t="shared" si="8"/>
        <v>0</v>
      </c>
      <c r="N37" s="596">
        <f t="shared" si="8"/>
        <v>0</v>
      </c>
      <c r="O37" s="596">
        <f t="shared" si="8"/>
        <v>0</v>
      </c>
      <c r="P37" s="596">
        <f t="shared" si="8"/>
        <v>0</v>
      </c>
      <c r="Q37" s="596">
        <f t="shared" si="8"/>
        <v>0</v>
      </c>
      <c r="R37" s="596">
        <f t="shared" si="8"/>
        <v>0</v>
      </c>
      <c r="S37" s="596">
        <f t="shared" si="8"/>
        <v>0</v>
      </c>
      <c r="T37" s="596">
        <f t="shared" si="8"/>
        <v>0</v>
      </c>
      <c r="U37" s="596">
        <f t="shared" si="6"/>
        <v>0</v>
      </c>
      <c r="V37" s="596">
        <f t="shared" si="6"/>
        <v>0</v>
      </c>
      <c r="W37" s="596">
        <f t="shared" si="6"/>
        <v>0</v>
      </c>
      <c r="X37" s="596">
        <f t="shared" si="6"/>
        <v>0</v>
      </c>
      <c r="Y37" s="596">
        <f t="shared" si="6"/>
        <v>0</v>
      </c>
      <c r="Z37" s="596">
        <f t="shared" si="6"/>
        <v>0</v>
      </c>
      <c r="AA37" s="596">
        <f t="shared" si="6"/>
        <v>0</v>
      </c>
      <c r="AB37" s="596">
        <f t="shared" si="6"/>
        <v>0</v>
      </c>
      <c r="AC37" s="596">
        <f t="shared" si="6"/>
        <v>0</v>
      </c>
      <c r="AD37" s="596">
        <f t="shared" si="6"/>
        <v>0</v>
      </c>
      <c r="AE37" s="596">
        <f t="shared" si="6"/>
        <v>0</v>
      </c>
      <c r="AF37" s="596">
        <f t="shared" si="6"/>
        <v>0</v>
      </c>
      <c r="AG37" s="596">
        <f t="shared" si="6"/>
        <v>0</v>
      </c>
      <c r="AH37" s="596">
        <f t="shared" si="6"/>
        <v>0</v>
      </c>
      <c r="AI37" s="596">
        <f t="shared" si="6"/>
        <v>0</v>
      </c>
      <c r="AJ37" s="596">
        <f t="shared" si="6"/>
        <v>0</v>
      </c>
      <c r="AK37" s="596">
        <f t="shared" ref="AK37:AZ48" si="9">IF(AK$21&gt;$H37,0,IF(AK$21&lt;$G37,0,$C37*$E37))</f>
        <v>0</v>
      </c>
      <c r="AL37" s="596">
        <f t="shared" si="9"/>
        <v>0</v>
      </c>
      <c r="AM37" s="596">
        <f t="shared" si="9"/>
        <v>0</v>
      </c>
      <c r="AN37" s="596">
        <f t="shared" si="9"/>
        <v>0</v>
      </c>
      <c r="AO37" s="596">
        <f t="shared" si="9"/>
        <v>0</v>
      </c>
      <c r="AP37" s="596">
        <f t="shared" si="9"/>
        <v>0</v>
      </c>
      <c r="AQ37" s="596">
        <f t="shared" si="9"/>
        <v>0</v>
      </c>
      <c r="AR37" s="596">
        <f t="shared" si="9"/>
        <v>0</v>
      </c>
      <c r="AS37" s="596">
        <f t="shared" si="9"/>
        <v>0</v>
      </c>
      <c r="AT37" s="596">
        <f t="shared" si="9"/>
        <v>0</v>
      </c>
      <c r="AU37" s="596">
        <f t="shared" si="9"/>
        <v>0</v>
      </c>
      <c r="AV37" s="596">
        <f t="shared" si="9"/>
        <v>0</v>
      </c>
      <c r="AW37" s="596">
        <f t="shared" si="9"/>
        <v>0</v>
      </c>
      <c r="AX37" s="596">
        <f t="shared" si="9"/>
        <v>0</v>
      </c>
      <c r="AY37" s="596">
        <f t="shared" si="9"/>
        <v>0</v>
      </c>
      <c r="AZ37" s="596">
        <f t="shared" si="9"/>
        <v>0</v>
      </c>
      <c r="BA37" s="596">
        <f t="shared" ref="AY37:BH48" si="10">IF(BA$21&gt;$H37,0,IF(BA$21&lt;$G37,0,$C37*$E37))</f>
        <v>0</v>
      </c>
      <c r="BB37" s="596">
        <f t="shared" si="10"/>
        <v>0</v>
      </c>
      <c r="BC37" s="596">
        <f t="shared" si="10"/>
        <v>0</v>
      </c>
      <c r="BD37" s="596">
        <f t="shared" si="10"/>
        <v>0</v>
      </c>
      <c r="BE37" s="596">
        <f t="shared" si="10"/>
        <v>0</v>
      </c>
      <c r="BF37" s="596">
        <f t="shared" si="10"/>
        <v>0</v>
      </c>
      <c r="BG37" s="596">
        <f t="shared" si="10"/>
        <v>0</v>
      </c>
      <c r="BH37" s="598">
        <f t="shared" si="10"/>
        <v>0</v>
      </c>
    </row>
    <row r="38" spans="2:60" x14ac:dyDescent="0.25">
      <c r="B38" s="570"/>
      <c r="C38" s="583"/>
      <c r="D38" s="524"/>
      <c r="E38" s="589"/>
      <c r="F38" s="524" t="s">
        <v>1503</v>
      </c>
      <c r="G38" s="583"/>
      <c r="H38" s="583"/>
      <c r="J38" s="522"/>
      <c r="K38" s="596">
        <f t="shared" si="8"/>
        <v>0</v>
      </c>
      <c r="L38" s="596">
        <f t="shared" si="8"/>
        <v>0</v>
      </c>
      <c r="M38" s="596">
        <f t="shared" si="8"/>
        <v>0</v>
      </c>
      <c r="N38" s="596">
        <f t="shared" si="8"/>
        <v>0</v>
      </c>
      <c r="O38" s="596">
        <f t="shared" si="8"/>
        <v>0</v>
      </c>
      <c r="P38" s="596">
        <f t="shared" si="8"/>
        <v>0</v>
      </c>
      <c r="Q38" s="596">
        <f t="shared" si="8"/>
        <v>0</v>
      </c>
      <c r="R38" s="596">
        <f t="shared" si="8"/>
        <v>0</v>
      </c>
      <c r="S38" s="596">
        <f t="shared" si="8"/>
        <v>0</v>
      </c>
      <c r="T38" s="596">
        <f t="shared" si="8"/>
        <v>0</v>
      </c>
      <c r="U38" s="596">
        <f t="shared" si="6"/>
        <v>0</v>
      </c>
      <c r="V38" s="596">
        <f t="shared" si="6"/>
        <v>0</v>
      </c>
      <c r="W38" s="596">
        <f t="shared" si="6"/>
        <v>0</v>
      </c>
      <c r="X38" s="596">
        <f t="shared" si="6"/>
        <v>0</v>
      </c>
      <c r="Y38" s="596">
        <f t="shared" si="6"/>
        <v>0</v>
      </c>
      <c r="Z38" s="596">
        <f t="shared" si="6"/>
        <v>0</v>
      </c>
      <c r="AA38" s="596">
        <f t="shared" si="6"/>
        <v>0</v>
      </c>
      <c r="AB38" s="596">
        <f t="shared" si="6"/>
        <v>0</v>
      </c>
      <c r="AC38" s="596">
        <f t="shared" si="6"/>
        <v>0</v>
      </c>
      <c r="AD38" s="596">
        <f t="shared" si="6"/>
        <v>0</v>
      </c>
      <c r="AE38" s="596">
        <f t="shared" si="6"/>
        <v>0</v>
      </c>
      <c r="AF38" s="596">
        <f t="shared" si="6"/>
        <v>0</v>
      </c>
      <c r="AG38" s="596">
        <f t="shared" si="6"/>
        <v>0</v>
      </c>
      <c r="AH38" s="596">
        <f t="shared" si="6"/>
        <v>0</v>
      </c>
      <c r="AI38" s="596">
        <f t="shared" si="6"/>
        <v>0</v>
      </c>
      <c r="AJ38" s="596">
        <f t="shared" si="6"/>
        <v>0</v>
      </c>
      <c r="AK38" s="596">
        <f t="shared" si="9"/>
        <v>0</v>
      </c>
      <c r="AL38" s="596">
        <f t="shared" si="9"/>
        <v>0</v>
      </c>
      <c r="AM38" s="596">
        <f t="shared" si="9"/>
        <v>0</v>
      </c>
      <c r="AN38" s="596">
        <f t="shared" si="9"/>
        <v>0</v>
      </c>
      <c r="AO38" s="596">
        <f t="shared" si="9"/>
        <v>0</v>
      </c>
      <c r="AP38" s="596">
        <f t="shared" si="9"/>
        <v>0</v>
      </c>
      <c r="AQ38" s="596">
        <f t="shared" si="9"/>
        <v>0</v>
      </c>
      <c r="AR38" s="596">
        <f t="shared" si="9"/>
        <v>0</v>
      </c>
      <c r="AS38" s="596">
        <f t="shared" si="9"/>
        <v>0</v>
      </c>
      <c r="AT38" s="596">
        <f t="shared" si="9"/>
        <v>0</v>
      </c>
      <c r="AU38" s="596">
        <f t="shared" si="9"/>
        <v>0</v>
      </c>
      <c r="AV38" s="596">
        <f t="shared" si="9"/>
        <v>0</v>
      </c>
      <c r="AW38" s="596">
        <f t="shared" si="9"/>
        <v>0</v>
      </c>
      <c r="AX38" s="596">
        <f t="shared" si="9"/>
        <v>0</v>
      </c>
      <c r="AY38" s="596">
        <f t="shared" si="10"/>
        <v>0</v>
      </c>
      <c r="AZ38" s="596">
        <f t="shared" si="10"/>
        <v>0</v>
      </c>
      <c r="BA38" s="596">
        <f t="shared" si="10"/>
        <v>0</v>
      </c>
      <c r="BB38" s="596">
        <f t="shared" si="10"/>
        <v>0</v>
      </c>
      <c r="BC38" s="596">
        <f t="shared" si="10"/>
        <v>0</v>
      </c>
      <c r="BD38" s="596">
        <f t="shared" si="10"/>
        <v>0</v>
      </c>
      <c r="BE38" s="596">
        <f t="shared" si="10"/>
        <v>0</v>
      </c>
      <c r="BF38" s="596">
        <f t="shared" si="10"/>
        <v>0</v>
      </c>
      <c r="BG38" s="596">
        <f t="shared" si="10"/>
        <v>0</v>
      </c>
      <c r="BH38" s="598">
        <f t="shared" si="10"/>
        <v>0</v>
      </c>
    </row>
    <row r="39" spans="2:60" x14ac:dyDescent="0.25">
      <c r="B39" s="570"/>
      <c r="C39" s="583"/>
      <c r="D39" s="524"/>
      <c r="E39" s="589"/>
      <c r="F39" s="524" t="s">
        <v>1503</v>
      </c>
      <c r="G39" s="583"/>
      <c r="H39" s="583"/>
      <c r="J39" s="522"/>
      <c r="K39" s="596">
        <f t="shared" si="8"/>
        <v>0</v>
      </c>
      <c r="L39" s="596">
        <f t="shared" si="8"/>
        <v>0</v>
      </c>
      <c r="M39" s="596">
        <f t="shared" si="8"/>
        <v>0</v>
      </c>
      <c r="N39" s="596">
        <f t="shared" si="8"/>
        <v>0</v>
      </c>
      <c r="O39" s="596">
        <f t="shared" si="8"/>
        <v>0</v>
      </c>
      <c r="P39" s="596">
        <f t="shared" si="8"/>
        <v>0</v>
      </c>
      <c r="Q39" s="596">
        <f t="shared" si="8"/>
        <v>0</v>
      </c>
      <c r="R39" s="596">
        <f t="shared" si="8"/>
        <v>0</v>
      </c>
      <c r="S39" s="596">
        <f t="shared" si="8"/>
        <v>0</v>
      </c>
      <c r="T39" s="596">
        <f t="shared" si="8"/>
        <v>0</v>
      </c>
      <c r="U39" s="596">
        <f t="shared" si="6"/>
        <v>0</v>
      </c>
      <c r="V39" s="596">
        <f t="shared" si="6"/>
        <v>0</v>
      </c>
      <c r="W39" s="596">
        <f t="shared" si="6"/>
        <v>0</v>
      </c>
      <c r="X39" s="596">
        <f t="shared" si="6"/>
        <v>0</v>
      </c>
      <c r="Y39" s="596">
        <f t="shared" si="6"/>
        <v>0</v>
      </c>
      <c r="Z39" s="596">
        <f t="shared" si="6"/>
        <v>0</v>
      </c>
      <c r="AA39" s="596">
        <f t="shared" si="6"/>
        <v>0</v>
      </c>
      <c r="AB39" s="596">
        <f t="shared" si="6"/>
        <v>0</v>
      </c>
      <c r="AC39" s="596">
        <f t="shared" si="6"/>
        <v>0</v>
      </c>
      <c r="AD39" s="596">
        <f t="shared" si="6"/>
        <v>0</v>
      </c>
      <c r="AE39" s="596">
        <f t="shared" si="6"/>
        <v>0</v>
      </c>
      <c r="AF39" s="596">
        <f t="shared" si="6"/>
        <v>0</v>
      </c>
      <c r="AG39" s="596">
        <f t="shared" si="6"/>
        <v>0</v>
      </c>
      <c r="AH39" s="596">
        <f t="shared" si="6"/>
        <v>0</v>
      </c>
      <c r="AI39" s="596">
        <f t="shared" si="6"/>
        <v>0</v>
      </c>
      <c r="AJ39" s="596">
        <f t="shared" si="6"/>
        <v>0</v>
      </c>
      <c r="AK39" s="596">
        <f t="shared" si="9"/>
        <v>0</v>
      </c>
      <c r="AL39" s="596">
        <f t="shared" si="9"/>
        <v>0</v>
      </c>
      <c r="AM39" s="596">
        <f t="shared" si="9"/>
        <v>0</v>
      </c>
      <c r="AN39" s="596">
        <f t="shared" si="9"/>
        <v>0</v>
      </c>
      <c r="AO39" s="596">
        <f t="shared" si="9"/>
        <v>0</v>
      </c>
      <c r="AP39" s="596">
        <f t="shared" si="9"/>
        <v>0</v>
      </c>
      <c r="AQ39" s="596">
        <f t="shared" si="9"/>
        <v>0</v>
      </c>
      <c r="AR39" s="596">
        <f t="shared" si="9"/>
        <v>0</v>
      </c>
      <c r="AS39" s="596">
        <f t="shared" si="9"/>
        <v>0</v>
      </c>
      <c r="AT39" s="596">
        <f t="shared" si="9"/>
        <v>0</v>
      </c>
      <c r="AU39" s="596">
        <f t="shared" si="9"/>
        <v>0</v>
      </c>
      <c r="AV39" s="596">
        <f t="shared" si="9"/>
        <v>0</v>
      </c>
      <c r="AW39" s="596">
        <f t="shared" si="9"/>
        <v>0</v>
      </c>
      <c r="AX39" s="596">
        <f t="shared" si="9"/>
        <v>0</v>
      </c>
      <c r="AY39" s="596">
        <f t="shared" si="10"/>
        <v>0</v>
      </c>
      <c r="AZ39" s="596">
        <f t="shared" si="10"/>
        <v>0</v>
      </c>
      <c r="BA39" s="596">
        <f t="shared" si="10"/>
        <v>0</v>
      </c>
      <c r="BB39" s="596">
        <f t="shared" si="10"/>
        <v>0</v>
      </c>
      <c r="BC39" s="596">
        <f t="shared" si="10"/>
        <v>0</v>
      </c>
      <c r="BD39" s="596">
        <f t="shared" si="10"/>
        <v>0</v>
      </c>
      <c r="BE39" s="596">
        <f t="shared" si="10"/>
        <v>0</v>
      </c>
      <c r="BF39" s="596">
        <f t="shared" si="10"/>
        <v>0</v>
      </c>
      <c r="BG39" s="596">
        <f t="shared" si="10"/>
        <v>0</v>
      </c>
      <c r="BH39" s="598">
        <f t="shared" si="10"/>
        <v>0</v>
      </c>
    </row>
    <row r="40" spans="2:60" x14ac:dyDescent="0.25">
      <c r="B40" s="570"/>
      <c r="C40" s="583"/>
      <c r="D40" s="524"/>
      <c r="E40" s="589"/>
      <c r="F40" s="524" t="s">
        <v>1503</v>
      </c>
      <c r="G40" s="583"/>
      <c r="H40" s="583"/>
      <c r="J40" s="522"/>
      <c r="K40" s="596">
        <f t="shared" si="8"/>
        <v>0</v>
      </c>
      <c r="L40" s="596">
        <f t="shared" si="8"/>
        <v>0</v>
      </c>
      <c r="M40" s="596">
        <f t="shared" si="8"/>
        <v>0</v>
      </c>
      <c r="N40" s="596">
        <f t="shared" si="8"/>
        <v>0</v>
      </c>
      <c r="O40" s="596">
        <f t="shared" si="8"/>
        <v>0</v>
      </c>
      <c r="P40" s="596">
        <f t="shared" si="8"/>
        <v>0</v>
      </c>
      <c r="Q40" s="596">
        <f t="shared" si="8"/>
        <v>0</v>
      </c>
      <c r="R40" s="596">
        <f t="shared" si="8"/>
        <v>0</v>
      </c>
      <c r="S40" s="596">
        <f t="shared" si="8"/>
        <v>0</v>
      </c>
      <c r="T40" s="596">
        <f t="shared" si="8"/>
        <v>0</v>
      </c>
      <c r="U40" s="596">
        <f t="shared" si="6"/>
        <v>0</v>
      </c>
      <c r="V40" s="596">
        <f t="shared" si="6"/>
        <v>0</v>
      </c>
      <c r="W40" s="596">
        <f t="shared" si="6"/>
        <v>0</v>
      </c>
      <c r="X40" s="596">
        <f t="shared" si="6"/>
        <v>0</v>
      </c>
      <c r="Y40" s="596">
        <f t="shared" si="6"/>
        <v>0</v>
      </c>
      <c r="Z40" s="596">
        <f t="shared" si="6"/>
        <v>0</v>
      </c>
      <c r="AA40" s="596">
        <f t="shared" si="6"/>
        <v>0</v>
      </c>
      <c r="AB40" s="596">
        <f t="shared" si="6"/>
        <v>0</v>
      </c>
      <c r="AC40" s="596">
        <f t="shared" si="6"/>
        <v>0</v>
      </c>
      <c r="AD40" s="596">
        <f t="shared" si="6"/>
        <v>0</v>
      </c>
      <c r="AE40" s="596">
        <f t="shared" si="6"/>
        <v>0</v>
      </c>
      <c r="AF40" s="596">
        <f t="shared" si="6"/>
        <v>0</v>
      </c>
      <c r="AG40" s="596">
        <f t="shared" si="6"/>
        <v>0</v>
      </c>
      <c r="AH40" s="596">
        <f t="shared" si="6"/>
        <v>0</v>
      </c>
      <c r="AI40" s="596">
        <f t="shared" si="6"/>
        <v>0</v>
      </c>
      <c r="AJ40" s="596">
        <f t="shared" si="6"/>
        <v>0</v>
      </c>
      <c r="AK40" s="596">
        <f t="shared" si="9"/>
        <v>0</v>
      </c>
      <c r="AL40" s="596">
        <f t="shared" si="9"/>
        <v>0</v>
      </c>
      <c r="AM40" s="596">
        <f t="shared" si="9"/>
        <v>0</v>
      </c>
      <c r="AN40" s="596">
        <f t="shared" si="9"/>
        <v>0</v>
      </c>
      <c r="AO40" s="596">
        <f t="shared" si="9"/>
        <v>0</v>
      </c>
      <c r="AP40" s="596">
        <f t="shared" si="9"/>
        <v>0</v>
      </c>
      <c r="AQ40" s="596">
        <f t="shared" si="9"/>
        <v>0</v>
      </c>
      <c r="AR40" s="596">
        <f t="shared" si="9"/>
        <v>0</v>
      </c>
      <c r="AS40" s="596">
        <f t="shared" si="9"/>
        <v>0</v>
      </c>
      <c r="AT40" s="596">
        <f t="shared" si="9"/>
        <v>0</v>
      </c>
      <c r="AU40" s="596">
        <f t="shared" si="9"/>
        <v>0</v>
      </c>
      <c r="AV40" s="596">
        <f t="shared" si="9"/>
        <v>0</v>
      </c>
      <c r="AW40" s="596">
        <f t="shared" si="9"/>
        <v>0</v>
      </c>
      <c r="AX40" s="596">
        <f t="shared" si="9"/>
        <v>0</v>
      </c>
      <c r="AY40" s="596">
        <f t="shared" si="10"/>
        <v>0</v>
      </c>
      <c r="AZ40" s="596">
        <f t="shared" si="10"/>
        <v>0</v>
      </c>
      <c r="BA40" s="596">
        <f t="shared" si="10"/>
        <v>0</v>
      </c>
      <c r="BB40" s="596">
        <f t="shared" si="10"/>
        <v>0</v>
      </c>
      <c r="BC40" s="596">
        <f t="shared" si="10"/>
        <v>0</v>
      </c>
      <c r="BD40" s="596">
        <f t="shared" si="10"/>
        <v>0</v>
      </c>
      <c r="BE40" s="596">
        <f t="shared" si="10"/>
        <v>0</v>
      </c>
      <c r="BF40" s="596">
        <f t="shared" si="10"/>
        <v>0</v>
      </c>
      <c r="BG40" s="596">
        <f t="shared" si="10"/>
        <v>0</v>
      </c>
      <c r="BH40" s="598">
        <f t="shared" si="10"/>
        <v>0</v>
      </c>
    </row>
    <row r="41" spans="2:60" x14ac:dyDescent="0.25">
      <c r="B41" s="570"/>
      <c r="C41" s="583"/>
      <c r="D41" s="524"/>
      <c r="E41" s="589"/>
      <c r="F41" s="524" t="s">
        <v>1503</v>
      </c>
      <c r="G41" s="583"/>
      <c r="H41" s="583"/>
      <c r="J41" s="522"/>
      <c r="K41" s="596">
        <f t="shared" si="8"/>
        <v>0</v>
      </c>
      <c r="L41" s="596">
        <f t="shared" si="8"/>
        <v>0</v>
      </c>
      <c r="M41" s="596">
        <f t="shared" si="8"/>
        <v>0</v>
      </c>
      <c r="N41" s="596">
        <f t="shared" si="8"/>
        <v>0</v>
      </c>
      <c r="O41" s="596">
        <f t="shared" si="8"/>
        <v>0</v>
      </c>
      <c r="P41" s="596">
        <f t="shared" si="8"/>
        <v>0</v>
      </c>
      <c r="Q41" s="596">
        <f t="shared" si="8"/>
        <v>0</v>
      </c>
      <c r="R41" s="596">
        <f t="shared" si="8"/>
        <v>0</v>
      </c>
      <c r="S41" s="596">
        <f t="shared" si="8"/>
        <v>0</v>
      </c>
      <c r="T41" s="596">
        <f t="shared" si="8"/>
        <v>0</v>
      </c>
      <c r="U41" s="596">
        <f t="shared" si="6"/>
        <v>0</v>
      </c>
      <c r="V41" s="596">
        <f t="shared" si="6"/>
        <v>0</v>
      </c>
      <c r="W41" s="596">
        <f t="shared" si="6"/>
        <v>0</v>
      </c>
      <c r="X41" s="596">
        <f t="shared" si="6"/>
        <v>0</v>
      </c>
      <c r="Y41" s="596">
        <f t="shared" si="6"/>
        <v>0</v>
      </c>
      <c r="Z41" s="596">
        <f t="shared" si="6"/>
        <v>0</v>
      </c>
      <c r="AA41" s="596">
        <f t="shared" si="6"/>
        <v>0</v>
      </c>
      <c r="AB41" s="596">
        <f t="shared" si="6"/>
        <v>0</v>
      </c>
      <c r="AC41" s="596">
        <f t="shared" si="6"/>
        <v>0</v>
      </c>
      <c r="AD41" s="596">
        <f t="shared" si="6"/>
        <v>0</v>
      </c>
      <c r="AE41" s="596">
        <f t="shared" si="6"/>
        <v>0</v>
      </c>
      <c r="AF41" s="596">
        <f t="shared" si="6"/>
        <v>0</v>
      </c>
      <c r="AG41" s="596">
        <f t="shared" si="6"/>
        <v>0</v>
      </c>
      <c r="AH41" s="596">
        <f t="shared" si="6"/>
        <v>0</v>
      </c>
      <c r="AI41" s="596">
        <f t="shared" si="6"/>
        <v>0</v>
      </c>
      <c r="AJ41" s="596">
        <f t="shared" si="6"/>
        <v>0</v>
      </c>
      <c r="AK41" s="596">
        <f t="shared" si="9"/>
        <v>0</v>
      </c>
      <c r="AL41" s="596">
        <f t="shared" si="9"/>
        <v>0</v>
      </c>
      <c r="AM41" s="596">
        <f t="shared" si="9"/>
        <v>0</v>
      </c>
      <c r="AN41" s="596">
        <f t="shared" si="9"/>
        <v>0</v>
      </c>
      <c r="AO41" s="596">
        <f t="shared" si="9"/>
        <v>0</v>
      </c>
      <c r="AP41" s="596">
        <f t="shared" si="9"/>
        <v>0</v>
      </c>
      <c r="AQ41" s="596">
        <f t="shared" si="9"/>
        <v>0</v>
      </c>
      <c r="AR41" s="596">
        <f t="shared" si="9"/>
        <v>0</v>
      </c>
      <c r="AS41" s="596">
        <f t="shared" si="9"/>
        <v>0</v>
      </c>
      <c r="AT41" s="596">
        <f t="shared" si="9"/>
        <v>0</v>
      </c>
      <c r="AU41" s="596">
        <f t="shared" si="9"/>
        <v>0</v>
      </c>
      <c r="AV41" s="596">
        <f t="shared" si="9"/>
        <v>0</v>
      </c>
      <c r="AW41" s="596">
        <f t="shared" si="9"/>
        <v>0</v>
      </c>
      <c r="AX41" s="596">
        <f t="shared" si="9"/>
        <v>0</v>
      </c>
      <c r="AY41" s="596">
        <f t="shared" si="10"/>
        <v>0</v>
      </c>
      <c r="AZ41" s="596">
        <f t="shared" si="10"/>
        <v>0</v>
      </c>
      <c r="BA41" s="596">
        <f t="shared" si="10"/>
        <v>0</v>
      </c>
      <c r="BB41" s="596">
        <f t="shared" si="10"/>
        <v>0</v>
      </c>
      <c r="BC41" s="596">
        <f t="shared" si="10"/>
        <v>0</v>
      </c>
      <c r="BD41" s="596">
        <f t="shared" si="10"/>
        <v>0</v>
      </c>
      <c r="BE41" s="596">
        <f t="shared" si="10"/>
        <v>0</v>
      </c>
      <c r="BF41" s="596">
        <f t="shared" si="10"/>
        <v>0</v>
      </c>
      <c r="BG41" s="596">
        <f t="shared" si="10"/>
        <v>0</v>
      </c>
      <c r="BH41" s="598">
        <f t="shared" si="10"/>
        <v>0</v>
      </c>
    </row>
    <row r="42" spans="2:60" x14ac:dyDescent="0.25">
      <c r="B42" s="570"/>
      <c r="C42" s="583"/>
      <c r="D42" s="524"/>
      <c r="E42" s="589"/>
      <c r="F42" s="524" t="s">
        <v>1503</v>
      </c>
      <c r="G42" s="583"/>
      <c r="H42" s="583"/>
      <c r="J42" s="522"/>
      <c r="K42" s="596">
        <f t="shared" si="8"/>
        <v>0</v>
      </c>
      <c r="L42" s="596">
        <f t="shared" si="8"/>
        <v>0</v>
      </c>
      <c r="M42" s="596">
        <f t="shared" si="8"/>
        <v>0</v>
      </c>
      <c r="N42" s="596">
        <f t="shared" si="8"/>
        <v>0</v>
      </c>
      <c r="O42" s="596">
        <f t="shared" si="8"/>
        <v>0</v>
      </c>
      <c r="P42" s="596">
        <f t="shared" si="8"/>
        <v>0</v>
      </c>
      <c r="Q42" s="596">
        <f t="shared" si="8"/>
        <v>0</v>
      </c>
      <c r="R42" s="596">
        <f t="shared" si="8"/>
        <v>0</v>
      </c>
      <c r="S42" s="596">
        <f t="shared" si="8"/>
        <v>0</v>
      </c>
      <c r="T42" s="596">
        <f t="shared" si="8"/>
        <v>0</v>
      </c>
      <c r="U42" s="596">
        <f t="shared" si="6"/>
        <v>0</v>
      </c>
      <c r="V42" s="596">
        <f t="shared" si="6"/>
        <v>0</v>
      </c>
      <c r="W42" s="596">
        <f t="shared" si="6"/>
        <v>0</v>
      </c>
      <c r="X42" s="596">
        <f t="shared" si="6"/>
        <v>0</v>
      </c>
      <c r="Y42" s="596">
        <f t="shared" si="6"/>
        <v>0</v>
      </c>
      <c r="Z42" s="596">
        <f t="shared" si="6"/>
        <v>0</v>
      </c>
      <c r="AA42" s="596">
        <f t="shared" si="6"/>
        <v>0</v>
      </c>
      <c r="AB42" s="596">
        <f t="shared" si="6"/>
        <v>0</v>
      </c>
      <c r="AC42" s="596">
        <f t="shared" si="6"/>
        <v>0</v>
      </c>
      <c r="AD42" s="596">
        <f t="shared" si="6"/>
        <v>0</v>
      </c>
      <c r="AE42" s="596">
        <f t="shared" si="6"/>
        <v>0</v>
      </c>
      <c r="AF42" s="596">
        <f t="shared" si="6"/>
        <v>0</v>
      </c>
      <c r="AG42" s="596">
        <f t="shared" si="6"/>
        <v>0</v>
      </c>
      <c r="AH42" s="596">
        <f t="shared" si="6"/>
        <v>0</v>
      </c>
      <c r="AI42" s="596">
        <f t="shared" si="6"/>
        <v>0</v>
      </c>
      <c r="AJ42" s="596">
        <f t="shared" si="6"/>
        <v>0</v>
      </c>
      <c r="AK42" s="596">
        <f t="shared" si="9"/>
        <v>0</v>
      </c>
      <c r="AL42" s="596">
        <f t="shared" si="9"/>
        <v>0</v>
      </c>
      <c r="AM42" s="596">
        <f t="shared" si="9"/>
        <v>0</v>
      </c>
      <c r="AN42" s="596">
        <f t="shared" si="9"/>
        <v>0</v>
      </c>
      <c r="AO42" s="596">
        <f t="shared" si="9"/>
        <v>0</v>
      </c>
      <c r="AP42" s="596">
        <f t="shared" si="9"/>
        <v>0</v>
      </c>
      <c r="AQ42" s="596">
        <f t="shared" si="9"/>
        <v>0</v>
      </c>
      <c r="AR42" s="596">
        <f t="shared" si="9"/>
        <v>0</v>
      </c>
      <c r="AS42" s="596">
        <f t="shared" si="9"/>
        <v>0</v>
      </c>
      <c r="AT42" s="596">
        <f t="shared" si="9"/>
        <v>0</v>
      </c>
      <c r="AU42" s="596">
        <f t="shared" si="9"/>
        <v>0</v>
      </c>
      <c r="AV42" s="596">
        <f t="shared" si="9"/>
        <v>0</v>
      </c>
      <c r="AW42" s="596">
        <f t="shared" si="9"/>
        <v>0</v>
      </c>
      <c r="AX42" s="596">
        <f t="shared" si="9"/>
        <v>0</v>
      </c>
      <c r="AY42" s="596">
        <f t="shared" si="10"/>
        <v>0</v>
      </c>
      <c r="AZ42" s="596">
        <f t="shared" si="10"/>
        <v>0</v>
      </c>
      <c r="BA42" s="596">
        <f t="shared" si="10"/>
        <v>0</v>
      </c>
      <c r="BB42" s="596">
        <f t="shared" si="10"/>
        <v>0</v>
      </c>
      <c r="BC42" s="596">
        <f t="shared" si="10"/>
        <v>0</v>
      </c>
      <c r="BD42" s="596">
        <f t="shared" si="10"/>
        <v>0</v>
      </c>
      <c r="BE42" s="596">
        <f t="shared" si="10"/>
        <v>0</v>
      </c>
      <c r="BF42" s="596">
        <f t="shared" si="10"/>
        <v>0</v>
      </c>
      <c r="BG42" s="596">
        <f t="shared" si="10"/>
        <v>0</v>
      </c>
      <c r="BH42" s="598">
        <f t="shared" si="10"/>
        <v>0</v>
      </c>
    </row>
    <row r="43" spans="2:60" x14ac:dyDescent="0.25">
      <c r="B43" s="570"/>
      <c r="C43" s="583"/>
      <c r="D43" s="524"/>
      <c r="E43" s="589"/>
      <c r="F43" s="524" t="s">
        <v>1503</v>
      </c>
      <c r="G43" s="583"/>
      <c r="H43" s="583"/>
      <c r="J43" s="522"/>
      <c r="K43" s="596">
        <f t="shared" si="8"/>
        <v>0</v>
      </c>
      <c r="L43" s="596">
        <f t="shared" si="8"/>
        <v>0</v>
      </c>
      <c r="M43" s="596">
        <f t="shared" si="8"/>
        <v>0</v>
      </c>
      <c r="N43" s="596">
        <f t="shared" si="8"/>
        <v>0</v>
      </c>
      <c r="O43" s="596">
        <f t="shared" si="8"/>
        <v>0</v>
      </c>
      <c r="P43" s="596">
        <f t="shared" si="8"/>
        <v>0</v>
      </c>
      <c r="Q43" s="596">
        <f t="shared" si="8"/>
        <v>0</v>
      </c>
      <c r="R43" s="596">
        <f t="shared" si="8"/>
        <v>0</v>
      </c>
      <c r="S43" s="596">
        <f t="shared" si="8"/>
        <v>0</v>
      </c>
      <c r="T43" s="596">
        <f t="shared" si="8"/>
        <v>0</v>
      </c>
      <c r="U43" s="596">
        <f t="shared" si="6"/>
        <v>0</v>
      </c>
      <c r="V43" s="596">
        <f t="shared" si="6"/>
        <v>0</v>
      </c>
      <c r="W43" s="596">
        <f t="shared" si="6"/>
        <v>0</v>
      </c>
      <c r="X43" s="596">
        <f t="shared" si="6"/>
        <v>0</v>
      </c>
      <c r="Y43" s="596">
        <f t="shared" si="6"/>
        <v>0</v>
      </c>
      <c r="Z43" s="596">
        <f t="shared" si="6"/>
        <v>0</v>
      </c>
      <c r="AA43" s="596">
        <f t="shared" si="6"/>
        <v>0</v>
      </c>
      <c r="AB43" s="596">
        <f t="shared" si="6"/>
        <v>0</v>
      </c>
      <c r="AC43" s="596">
        <f t="shared" si="6"/>
        <v>0</v>
      </c>
      <c r="AD43" s="596">
        <f t="shared" si="6"/>
        <v>0</v>
      </c>
      <c r="AE43" s="596">
        <f t="shared" si="6"/>
        <v>0</v>
      </c>
      <c r="AF43" s="596">
        <f t="shared" si="6"/>
        <v>0</v>
      </c>
      <c r="AG43" s="596">
        <f t="shared" si="6"/>
        <v>0</v>
      </c>
      <c r="AH43" s="596">
        <f t="shared" si="6"/>
        <v>0</v>
      </c>
      <c r="AI43" s="596">
        <f t="shared" si="6"/>
        <v>0</v>
      </c>
      <c r="AJ43" s="596">
        <f t="shared" si="6"/>
        <v>0</v>
      </c>
      <c r="AK43" s="596">
        <f t="shared" si="9"/>
        <v>0</v>
      </c>
      <c r="AL43" s="596">
        <f t="shared" si="9"/>
        <v>0</v>
      </c>
      <c r="AM43" s="596">
        <f t="shared" si="9"/>
        <v>0</v>
      </c>
      <c r="AN43" s="596">
        <f t="shared" si="9"/>
        <v>0</v>
      </c>
      <c r="AO43" s="596">
        <f t="shared" si="9"/>
        <v>0</v>
      </c>
      <c r="AP43" s="596">
        <f t="shared" si="9"/>
        <v>0</v>
      </c>
      <c r="AQ43" s="596">
        <f t="shared" si="9"/>
        <v>0</v>
      </c>
      <c r="AR43" s="596">
        <f t="shared" si="9"/>
        <v>0</v>
      </c>
      <c r="AS43" s="596">
        <f t="shared" si="9"/>
        <v>0</v>
      </c>
      <c r="AT43" s="596">
        <f t="shared" si="9"/>
        <v>0</v>
      </c>
      <c r="AU43" s="596">
        <f t="shared" si="9"/>
        <v>0</v>
      </c>
      <c r="AV43" s="596">
        <f t="shared" si="9"/>
        <v>0</v>
      </c>
      <c r="AW43" s="596">
        <f t="shared" si="9"/>
        <v>0</v>
      </c>
      <c r="AX43" s="596">
        <f t="shared" si="9"/>
        <v>0</v>
      </c>
      <c r="AY43" s="596">
        <f t="shared" si="10"/>
        <v>0</v>
      </c>
      <c r="AZ43" s="596">
        <f t="shared" si="10"/>
        <v>0</v>
      </c>
      <c r="BA43" s="596">
        <f t="shared" si="10"/>
        <v>0</v>
      </c>
      <c r="BB43" s="596">
        <f t="shared" si="10"/>
        <v>0</v>
      </c>
      <c r="BC43" s="596">
        <f t="shared" si="10"/>
        <v>0</v>
      </c>
      <c r="BD43" s="596">
        <f t="shared" si="10"/>
        <v>0</v>
      </c>
      <c r="BE43" s="596">
        <f t="shared" si="10"/>
        <v>0</v>
      </c>
      <c r="BF43" s="596">
        <f t="shared" si="10"/>
        <v>0</v>
      </c>
      <c r="BG43" s="596">
        <f t="shared" si="10"/>
        <v>0</v>
      </c>
      <c r="BH43" s="598">
        <f t="shared" si="10"/>
        <v>0</v>
      </c>
    </row>
    <row r="44" spans="2:60" x14ac:dyDescent="0.25">
      <c r="B44" s="570"/>
      <c r="C44" s="583"/>
      <c r="D44" s="524"/>
      <c r="E44" s="589"/>
      <c r="F44" s="524" t="s">
        <v>1503</v>
      </c>
      <c r="G44" s="583"/>
      <c r="H44" s="583"/>
      <c r="J44" s="522"/>
      <c r="K44" s="596">
        <f t="shared" si="8"/>
        <v>0</v>
      </c>
      <c r="L44" s="596">
        <f t="shared" si="8"/>
        <v>0</v>
      </c>
      <c r="M44" s="596">
        <f t="shared" si="8"/>
        <v>0</v>
      </c>
      <c r="N44" s="596">
        <f t="shared" si="8"/>
        <v>0</v>
      </c>
      <c r="O44" s="596">
        <f t="shared" si="8"/>
        <v>0</v>
      </c>
      <c r="P44" s="596">
        <f t="shared" si="8"/>
        <v>0</v>
      </c>
      <c r="Q44" s="596">
        <f t="shared" si="8"/>
        <v>0</v>
      </c>
      <c r="R44" s="596">
        <f t="shared" si="8"/>
        <v>0</v>
      </c>
      <c r="S44" s="596">
        <f t="shared" si="8"/>
        <v>0</v>
      </c>
      <c r="T44" s="596">
        <f t="shared" si="8"/>
        <v>0</v>
      </c>
      <c r="U44" s="596">
        <f t="shared" si="6"/>
        <v>0</v>
      </c>
      <c r="V44" s="596">
        <f t="shared" si="6"/>
        <v>0</v>
      </c>
      <c r="W44" s="596">
        <f t="shared" si="6"/>
        <v>0</v>
      </c>
      <c r="X44" s="596">
        <f t="shared" si="6"/>
        <v>0</v>
      </c>
      <c r="Y44" s="596">
        <f t="shared" si="6"/>
        <v>0</v>
      </c>
      <c r="Z44" s="596">
        <f t="shared" si="6"/>
        <v>0</v>
      </c>
      <c r="AA44" s="596">
        <f t="shared" si="6"/>
        <v>0</v>
      </c>
      <c r="AB44" s="596">
        <f t="shared" si="6"/>
        <v>0</v>
      </c>
      <c r="AC44" s="596">
        <f t="shared" si="6"/>
        <v>0</v>
      </c>
      <c r="AD44" s="596">
        <f t="shared" si="6"/>
        <v>0</v>
      </c>
      <c r="AE44" s="596">
        <f t="shared" si="6"/>
        <v>0</v>
      </c>
      <c r="AF44" s="596">
        <f t="shared" si="6"/>
        <v>0</v>
      </c>
      <c r="AG44" s="596">
        <f t="shared" si="6"/>
        <v>0</v>
      </c>
      <c r="AH44" s="596">
        <f t="shared" si="6"/>
        <v>0</v>
      </c>
      <c r="AI44" s="596">
        <f t="shared" si="6"/>
        <v>0</v>
      </c>
      <c r="AJ44" s="596">
        <f t="shared" si="6"/>
        <v>0</v>
      </c>
      <c r="AK44" s="596">
        <f t="shared" si="9"/>
        <v>0</v>
      </c>
      <c r="AL44" s="596">
        <f t="shared" si="9"/>
        <v>0</v>
      </c>
      <c r="AM44" s="596">
        <f t="shared" si="9"/>
        <v>0</v>
      </c>
      <c r="AN44" s="596">
        <f t="shared" si="9"/>
        <v>0</v>
      </c>
      <c r="AO44" s="596">
        <f t="shared" si="9"/>
        <v>0</v>
      </c>
      <c r="AP44" s="596">
        <f t="shared" si="9"/>
        <v>0</v>
      </c>
      <c r="AQ44" s="596">
        <f t="shared" si="9"/>
        <v>0</v>
      </c>
      <c r="AR44" s="596">
        <f t="shared" si="9"/>
        <v>0</v>
      </c>
      <c r="AS44" s="596">
        <f t="shared" si="9"/>
        <v>0</v>
      </c>
      <c r="AT44" s="596">
        <f t="shared" si="9"/>
        <v>0</v>
      </c>
      <c r="AU44" s="596">
        <f t="shared" si="9"/>
        <v>0</v>
      </c>
      <c r="AV44" s="596">
        <f t="shared" si="9"/>
        <v>0</v>
      </c>
      <c r="AW44" s="596">
        <f t="shared" si="9"/>
        <v>0</v>
      </c>
      <c r="AX44" s="596">
        <f t="shared" si="9"/>
        <v>0</v>
      </c>
      <c r="AY44" s="596">
        <f t="shared" si="10"/>
        <v>0</v>
      </c>
      <c r="AZ44" s="596">
        <f t="shared" si="10"/>
        <v>0</v>
      </c>
      <c r="BA44" s="596">
        <f t="shared" si="10"/>
        <v>0</v>
      </c>
      <c r="BB44" s="596">
        <f t="shared" si="10"/>
        <v>0</v>
      </c>
      <c r="BC44" s="596">
        <f t="shared" si="10"/>
        <v>0</v>
      </c>
      <c r="BD44" s="596">
        <f t="shared" si="10"/>
        <v>0</v>
      </c>
      <c r="BE44" s="596">
        <f t="shared" si="10"/>
        <v>0</v>
      </c>
      <c r="BF44" s="596">
        <f t="shared" si="10"/>
        <v>0</v>
      </c>
      <c r="BG44" s="596">
        <f t="shared" si="10"/>
        <v>0</v>
      </c>
      <c r="BH44" s="598">
        <f t="shared" si="10"/>
        <v>0</v>
      </c>
    </row>
    <row r="45" spans="2:60" x14ac:dyDescent="0.25">
      <c r="B45" s="570"/>
      <c r="C45" s="583"/>
      <c r="D45" s="524"/>
      <c r="E45" s="589"/>
      <c r="F45" s="524" t="s">
        <v>1503</v>
      </c>
      <c r="G45" s="583"/>
      <c r="H45" s="583"/>
      <c r="J45" s="522"/>
      <c r="K45" s="596">
        <f t="shared" si="8"/>
        <v>0</v>
      </c>
      <c r="L45" s="596">
        <f t="shared" si="8"/>
        <v>0</v>
      </c>
      <c r="M45" s="596">
        <f t="shared" si="8"/>
        <v>0</v>
      </c>
      <c r="N45" s="596">
        <f t="shared" si="8"/>
        <v>0</v>
      </c>
      <c r="O45" s="596">
        <f t="shared" si="8"/>
        <v>0</v>
      </c>
      <c r="P45" s="596">
        <f t="shared" si="8"/>
        <v>0</v>
      </c>
      <c r="Q45" s="596">
        <f t="shared" si="8"/>
        <v>0</v>
      </c>
      <c r="R45" s="596">
        <f t="shared" si="8"/>
        <v>0</v>
      </c>
      <c r="S45" s="596">
        <f t="shared" si="8"/>
        <v>0</v>
      </c>
      <c r="T45" s="596">
        <f t="shared" si="8"/>
        <v>0</v>
      </c>
      <c r="U45" s="596">
        <f t="shared" si="6"/>
        <v>0</v>
      </c>
      <c r="V45" s="596">
        <f t="shared" si="6"/>
        <v>0</v>
      </c>
      <c r="W45" s="596">
        <f t="shared" si="6"/>
        <v>0</v>
      </c>
      <c r="X45" s="596">
        <f t="shared" si="6"/>
        <v>0</v>
      </c>
      <c r="Y45" s="596">
        <f t="shared" si="6"/>
        <v>0</v>
      </c>
      <c r="Z45" s="596">
        <f t="shared" si="6"/>
        <v>0</v>
      </c>
      <c r="AA45" s="596">
        <f t="shared" si="6"/>
        <v>0</v>
      </c>
      <c r="AB45" s="596">
        <f t="shared" si="6"/>
        <v>0</v>
      </c>
      <c r="AC45" s="596">
        <f t="shared" si="6"/>
        <v>0</v>
      </c>
      <c r="AD45" s="596">
        <f t="shared" si="6"/>
        <v>0</v>
      </c>
      <c r="AE45" s="596">
        <f t="shared" si="6"/>
        <v>0</v>
      </c>
      <c r="AF45" s="596">
        <f t="shared" si="6"/>
        <v>0</v>
      </c>
      <c r="AG45" s="596">
        <f t="shared" si="6"/>
        <v>0</v>
      </c>
      <c r="AH45" s="596">
        <f t="shared" si="6"/>
        <v>0</v>
      </c>
      <c r="AI45" s="596">
        <f t="shared" si="6"/>
        <v>0</v>
      </c>
      <c r="AJ45" s="596">
        <f t="shared" si="6"/>
        <v>0</v>
      </c>
      <c r="AK45" s="596">
        <f t="shared" si="9"/>
        <v>0</v>
      </c>
      <c r="AL45" s="596">
        <f t="shared" si="9"/>
        <v>0</v>
      </c>
      <c r="AM45" s="596">
        <f t="shared" si="9"/>
        <v>0</v>
      </c>
      <c r="AN45" s="596">
        <f t="shared" si="9"/>
        <v>0</v>
      </c>
      <c r="AO45" s="596">
        <f t="shared" si="9"/>
        <v>0</v>
      </c>
      <c r="AP45" s="596">
        <f t="shared" si="9"/>
        <v>0</v>
      </c>
      <c r="AQ45" s="596">
        <f t="shared" si="9"/>
        <v>0</v>
      </c>
      <c r="AR45" s="596">
        <f t="shared" si="9"/>
        <v>0</v>
      </c>
      <c r="AS45" s="596">
        <f t="shared" si="9"/>
        <v>0</v>
      </c>
      <c r="AT45" s="596">
        <f t="shared" si="9"/>
        <v>0</v>
      </c>
      <c r="AU45" s="596">
        <f t="shared" si="9"/>
        <v>0</v>
      </c>
      <c r="AV45" s="596">
        <f t="shared" si="9"/>
        <v>0</v>
      </c>
      <c r="AW45" s="596">
        <f t="shared" si="9"/>
        <v>0</v>
      </c>
      <c r="AX45" s="596">
        <f t="shared" si="9"/>
        <v>0</v>
      </c>
      <c r="AY45" s="596">
        <f t="shared" si="10"/>
        <v>0</v>
      </c>
      <c r="AZ45" s="596">
        <f t="shared" si="10"/>
        <v>0</v>
      </c>
      <c r="BA45" s="596">
        <f t="shared" si="10"/>
        <v>0</v>
      </c>
      <c r="BB45" s="596">
        <f t="shared" si="10"/>
        <v>0</v>
      </c>
      <c r="BC45" s="596">
        <f t="shared" si="10"/>
        <v>0</v>
      </c>
      <c r="BD45" s="596">
        <f t="shared" si="10"/>
        <v>0</v>
      </c>
      <c r="BE45" s="596">
        <f t="shared" si="10"/>
        <v>0</v>
      </c>
      <c r="BF45" s="596">
        <f t="shared" si="10"/>
        <v>0</v>
      </c>
      <c r="BG45" s="596">
        <f t="shared" si="10"/>
        <v>0</v>
      </c>
      <c r="BH45" s="598">
        <f t="shared" si="10"/>
        <v>0</v>
      </c>
    </row>
    <row r="46" spans="2:60" x14ac:dyDescent="0.25">
      <c r="B46" s="570"/>
      <c r="C46" s="583"/>
      <c r="D46" s="524"/>
      <c r="E46" s="589"/>
      <c r="F46" s="524" t="s">
        <v>1503</v>
      </c>
      <c r="G46" s="583"/>
      <c r="H46" s="583"/>
      <c r="J46" s="522"/>
      <c r="K46" s="596">
        <f t="shared" si="8"/>
        <v>0</v>
      </c>
      <c r="L46" s="596">
        <f t="shared" si="8"/>
        <v>0</v>
      </c>
      <c r="M46" s="596">
        <f t="shared" si="8"/>
        <v>0</v>
      </c>
      <c r="N46" s="596">
        <f t="shared" si="8"/>
        <v>0</v>
      </c>
      <c r="O46" s="596">
        <f t="shared" si="8"/>
        <v>0</v>
      </c>
      <c r="P46" s="596">
        <f t="shared" si="8"/>
        <v>0</v>
      </c>
      <c r="Q46" s="596">
        <f t="shared" si="8"/>
        <v>0</v>
      </c>
      <c r="R46" s="596">
        <f t="shared" si="8"/>
        <v>0</v>
      </c>
      <c r="S46" s="596">
        <f t="shared" si="8"/>
        <v>0</v>
      </c>
      <c r="T46" s="596">
        <f t="shared" si="8"/>
        <v>0</v>
      </c>
      <c r="U46" s="596">
        <f t="shared" si="6"/>
        <v>0</v>
      </c>
      <c r="V46" s="596">
        <f t="shared" si="6"/>
        <v>0</v>
      </c>
      <c r="W46" s="596">
        <f t="shared" si="6"/>
        <v>0</v>
      </c>
      <c r="X46" s="596">
        <f t="shared" si="6"/>
        <v>0</v>
      </c>
      <c r="Y46" s="596">
        <f t="shared" si="6"/>
        <v>0</v>
      </c>
      <c r="Z46" s="596">
        <f t="shared" si="6"/>
        <v>0</v>
      </c>
      <c r="AA46" s="596">
        <f t="shared" si="6"/>
        <v>0</v>
      </c>
      <c r="AB46" s="596">
        <f t="shared" si="6"/>
        <v>0</v>
      </c>
      <c r="AC46" s="596">
        <f t="shared" si="6"/>
        <v>0</v>
      </c>
      <c r="AD46" s="596">
        <f t="shared" si="6"/>
        <v>0</v>
      </c>
      <c r="AE46" s="596">
        <f t="shared" si="6"/>
        <v>0</v>
      </c>
      <c r="AF46" s="596">
        <f t="shared" si="6"/>
        <v>0</v>
      </c>
      <c r="AG46" s="596">
        <f t="shared" si="6"/>
        <v>0</v>
      </c>
      <c r="AH46" s="596">
        <f t="shared" si="6"/>
        <v>0</v>
      </c>
      <c r="AI46" s="596">
        <f t="shared" si="6"/>
        <v>0</v>
      </c>
      <c r="AJ46" s="596">
        <f t="shared" si="6"/>
        <v>0</v>
      </c>
      <c r="AK46" s="596">
        <f t="shared" si="9"/>
        <v>0</v>
      </c>
      <c r="AL46" s="596">
        <f t="shared" si="9"/>
        <v>0</v>
      </c>
      <c r="AM46" s="596">
        <f t="shared" si="9"/>
        <v>0</v>
      </c>
      <c r="AN46" s="596">
        <f t="shared" si="9"/>
        <v>0</v>
      </c>
      <c r="AO46" s="596">
        <f t="shared" si="9"/>
        <v>0</v>
      </c>
      <c r="AP46" s="596">
        <f t="shared" si="9"/>
        <v>0</v>
      </c>
      <c r="AQ46" s="596">
        <f t="shared" si="9"/>
        <v>0</v>
      </c>
      <c r="AR46" s="596">
        <f t="shared" si="9"/>
        <v>0</v>
      </c>
      <c r="AS46" s="596">
        <f t="shared" si="9"/>
        <v>0</v>
      </c>
      <c r="AT46" s="596">
        <f t="shared" si="9"/>
        <v>0</v>
      </c>
      <c r="AU46" s="596">
        <f t="shared" si="9"/>
        <v>0</v>
      </c>
      <c r="AV46" s="596">
        <f t="shared" si="9"/>
        <v>0</v>
      </c>
      <c r="AW46" s="596">
        <f t="shared" si="9"/>
        <v>0</v>
      </c>
      <c r="AX46" s="596">
        <f t="shared" si="9"/>
        <v>0</v>
      </c>
      <c r="AY46" s="596">
        <f t="shared" si="10"/>
        <v>0</v>
      </c>
      <c r="AZ46" s="596">
        <f t="shared" si="10"/>
        <v>0</v>
      </c>
      <c r="BA46" s="596">
        <f t="shared" si="10"/>
        <v>0</v>
      </c>
      <c r="BB46" s="596">
        <f t="shared" si="10"/>
        <v>0</v>
      </c>
      <c r="BC46" s="596">
        <f t="shared" si="10"/>
        <v>0</v>
      </c>
      <c r="BD46" s="596">
        <f t="shared" si="10"/>
        <v>0</v>
      </c>
      <c r="BE46" s="596">
        <f t="shared" si="10"/>
        <v>0</v>
      </c>
      <c r="BF46" s="596">
        <f t="shared" si="10"/>
        <v>0</v>
      </c>
      <c r="BG46" s="596">
        <f t="shared" si="10"/>
        <v>0</v>
      </c>
      <c r="BH46" s="598">
        <f t="shared" si="10"/>
        <v>0</v>
      </c>
    </row>
    <row r="47" spans="2:60" x14ac:dyDescent="0.25">
      <c r="B47" s="570"/>
      <c r="C47" s="583"/>
      <c r="D47" s="524"/>
      <c r="E47" s="589"/>
      <c r="F47" s="524" t="s">
        <v>1503</v>
      </c>
      <c r="G47" s="584"/>
      <c r="H47" s="583"/>
      <c r="J47" s="522"/>
      <c r="K47" s="596">
        <f t="shared" si="8"/>
        <v>0</v>
      </c>
      <c r="L47" s="596">
        <f t="shared" si="8"/>
        <v>0</v>
      </c>
      <c r="M47" s="596">
        <f t="shared" si="8"/>
        <v>0</v>
      </c>
      <c r="N47" s="596">
        <f t="shared" si="8"/>
        <v>0</v>
      </c>
      <c r="O47" s="596">
        <f t="shared" si="8"/>
        <v>0</v>
      </c>
      <c r="P47" s="596">
        <f t="shared" si="8"/>
        <v>0</v>
      </c>
      <c r="Q47" s="596">
        <f t="shared" si="8"/>
        <v>0</v>
      </c>
      <c r="R47" s="596">
        <f t="shared" si="8"/>
        <v>0</v>
      </c>
      <c r="S47" s="596">
        <f t="shared" si="8"/>
        <v>0</v>
      </c>
      <c r="T47" s="596">
        <f t="shared" si="8"/>
        <v>0</v>
      </c>
      <c r="U47" s="596">
        <f t="shared" si="6"/>
        <v>0</v>
      </c>
      <c r="V47" s="596">
        <f t="shared" si="6"/>
        <v>0</v>
      </c>
      <c r="W47" s="596">
        <f t="shared" si="6"/>
        <v>0</v>
      </c>
      <c r="X47" s="596">
        <f t="shared" si="6"/>
        <v>0</v>
      </c>
      <c r="Y47" s="596">
        <f t="shared" si="6"/>
        <v>0</v>
      </c>
      <c r="Z47" s="596">
        <f t="shared" si="6"/>
        <v>0</v>
      </c>
      <c r="AA47" s="596">
        <f t="shared" si="6"/>
        <v>0</v>
      </c>
      <c r="AB47" s="596">
        <f t="shared" si="6"/>
        <v>0</v>
      </c>
      <c r="AC47" s="596">
        <f t="shared" si="6"/>
        <v>0</v>
      </c>
      <c r="AD47" s="596">
        <f t="shared" si="6"/>
        <v>0</v>
      </c>
      <c r="AE47" s="596">
        <f t="shared" si="6"/>
        <v>0</v>
      </c>
      <c r="AF47" s="596">
        <f t="shared" si="6"/>
        <v>0</v>
      </c>
      <c r="AG47" s="596">
        <f t="shared" si="6"/>
        <v>0</v>
      </c>
      <c r="AH47" s="596">
        <f t="shared" si="6"/>
        <v>0</v>
      </c>
      <c r="AI47" s="596">
        <f t="shared" si="6"/>
        <v>0</v>
      </c>
      <c r="AJ47" s="596">
        <f t="shared" si="6"/>
        <v>0</v>
      </c>
      <c r="AK47" s="596">
        <f t="shared" si="9"/>
        <v>0</v>
      </c>
      <c r="AL47" s="596">
        <f t="shared" si="9"/>
        <v>0</v>
      </c>
      <c r="AM47" s="596">
        <f t="shared" si="9"/>
        <v>0</v>
      </c>
      <c r="AN47" s="596">
        <f t="shared" si="9"/>
        <v>0</v>
      </c>
      <c r="AO47" s="596">
        <f t="shared" si="9"/>
        <v>0</v>
      </c>
      <c r="AP47" s="596">
        <f t="shared" si="9"/>
        <v>0</v>
      </c>
      <c r="AQ47" s="596">
        <f t="shared" si="9"/>
        <v>0</v>
      </c>
      <c r="AR47" s="596">
        <f t="shared" si="9"/>
        <v>0</v>
      </c>
      <c r="AS47" s="596">
        <f t="shared" si="9"/>
        <v>0</v>
      </c>
      <c r="AT47" s="596">
        <f t="shared" si="9"/>
        <v>0</v>
      </c>
      <c r="AU47" s="596">
        <f t="shared" si="9"/>
        <v>0</v>
      </c>
      <c r="AV47" s="596">
        <f t="shared" si="9"/>
        <v>0</v>
      </c>
      <c r="AW47" s="596">
        <f t="shared" si="9"/>
        <v>0</v>
      </c>
      <c r="AX47" s="596">
        <f t="shared" si="9"/>
        <v>0</v>
      </c>
      <c r="AY47" s="596">
        <f t="shared" si="10"/>
        <v>0</v>
      </c>
      <c r="AZ47" s="596">
        <f t="shared" si="10"/>
        <v>0</v>
      </c>
      <c r="BA47" s="596">
        <f t="shared" si="10"/>
        <v>0</v>
      </c>
      <c r="BB47" s="596">
        <f t="shared" si="10"/>
        <v>0</v>
      </c>
      <c r="BC47" s="596">
        <f t="shared" si="10"/>
        <v>0</v>
      </c>
      <c r="BD47" s="596">
        <f t="shared" si="10"/>
        <v>0</v>
      </c>
      <c r="BE47" s="596">
        <f t="shared" si="10"/>
        <v>0</v>
      </c>
      <c r="BF47" s="596">
        <f t="shared" si="10"/>
        <v>0</v>
      </c>
      <c r="BG47" s="596">
        <f t="shared" si="10"/>
        <v>0</v>
      </c>
      <c r="BH47" s="598">
        <f t="shared" si="10"/>
        <v>0</v>
      </c>
    </row>
    <row r="48" spans="2:60" x14ac:dyDescent="0.25">
      <c r="B48" s="571"/>
      <c r="C48" s="586"/>
      <c r="D48" s="526"/>
      <c r="E48" s="591"/>
      <c r="F48" s="526" t="s">
        <v>1503</v>
      </c>
      <c r="G48" s="585"/>
      <c r="H48" s="586"/>
      <c r="J48" s="527"/>
      <c r="K48" s="596">
        <f t="shared" si="8"/>
        <v>0</v>
      </c>
      <c r="L48" s="596">
        <f t="shared" si="8"/>
        <v>0</v>
      </c>
      <c r="M48" s="596">
        <f t="shared" si="8"/>
        <v>0</v>
      </c>
      <c r="N48" s="596">
        <f t="shared" si="8"/>
        <v>0</v>
      </c>
      <c r="O48" s="596">
        <f t="shared" si="8"/>
        <v>0</v>
      </c>
      <c r="P48" s="596">
        <f t="shared" si="8"/>
        <v>0</v>
      </c>
      <c r="Q48" s="596">
        <f t="shared" si="8"/>
        <v>0</v>
      </c>
      <c r="R48" s="596">
        <f t="shared" si="8"/>
        <v>0</v>
      </c>
      <c r="S48" s="596">
        <f t="shared" si="8"/>
        <v>0</v>
      </c>
      <c r="T48" s="596">
        <f t="shared" si="8"/>
        <v>0</v>
      </c>
      <c r="U48" s="596">
        <f t="shared" si="6"/>
        <v>0</v>
      </c>
      <c r="V48" s="596">
        <f t="shared" si="6"/>
        <v>0</v>
      </c>
      <c r="W48" s="596">
        <f t="shared" si="6"/>
        <v>0</v>
      </c>
      <c r="X48" s="596">
        <f t="shared" si="6"/>
        <v>0</v>
      </c>
      <c r="Y48" s="596">
        <f t="shared" si="6"/>
        <v>0</v>
      </c>
      <c r="Z48" s="596">
        <f t="shared" si="6"/>
        <v>0</v>
      </c>
      <c r="AA48" s="596">
        <f t="shared" si="6"/>
        <v>0</v>
      </c>
      <c r="AB48" s="596">
        <f t="shared" si="6"/>
        <v>0</v>
      </c>
      <c r="AC48" s="596">
        <f t="shared" si="6"/>
        <v>0</v>
      </c>
      <c r="AD48" s="596">
        <f t="shared" si="6"/>
        <v>0</v>
      </c>
      <c r="AE48" s="596">
        <f t="shared" si="6"/>
        <v>0</v>
      </c>
      <c r="AF48" s="596">
        <f t="shared" si="6"/>
        <v>0</v>
      </c>
      <c r="AG48" s="596">
        <f t="shared" si="6"/>
        <v>0</v>
      </c>
      <c r="AH48" s="596">
        <f t="shared" si="6"/>
        <v>0</v>
      </c>
      <c r="AI48" s="596">
        <f t="shared" si="6"/>
        <v>0</v>
      </c>
      <c r="AJ48" s="596">
        <f t="shared" si="6"/>
        <v>0</v>
      </c>
      <c r="AK48" s="596">
        <f t="shared" si="9"/>
        <v>0</v>
      </c>
      <c r="AL48" s="596">
        <f t="shared" si="9"/>
        <v>0</v>
      </c>
      <c r="AM48" s="596">
        <f t="shared" si="9"/>
        <v>0</v>
      </c>
      <c r="AN48" s="596">
        <f t="shared" si="9"/>
        <v>0</v>
      </c>
      <c r="AO48" s="596">
        <f t="shared" si="9"/>
        <v>0</v>
      </c>
      <c r="AP48" s="596">
        <f t="shared" si="9"/>
        <v>0</v>
      </c>
      <c r="AQ48" s="596">
        <f t="shared" si="9"/>
        <v>0</v>
      </c>
      <c r="AR48" s="596">
        <f t="shared" si="9"/>
        <v>0</v>
      </c>
      <c r="AS48" s="596">
        <f t="shared" si="9"/>
        <v>0</v>
      </c>
      <c r="AT48" s="596">
        <f t="shared" si="9"/>
        <v>0</v>
      </c>
      <c r="AU48" s="596">
        <f t="shared" si="9"/>
        <v>0</v>
      </c>
      <c r="AV48" s="596">
        <f t="shared" si="9"/>
        <v>0</v>
      </c>
      <c r="AW48" s="596">
        <f t="shared" si="9"/>
        <v>0</v>
      </c>
      <c r="AX48" s="596">
        <f t="shared" si="9"/>
        <v>0</v>
      </c>
      <c r="AY48" s="596">
        <f t="shared" si="10"/>
        <v>0</v>
      </c>
      <c r="AZ48" s="596">
        <f t="shared" si="10"/>
        <v>0</v>
      </c>
      <c r="BA48" s="596">
        <f t="shared" si="10"/>
        <v>0</v>
      </c>
      <c r="BB48" s="596">
        <f t="shared" si="10"/>
        <v>0</v>
      </c>
      <c r="BC48" s="596">
        <f t="shared" si="10"/>
        <v>0</v>
      </c>
      <c r="BD48" s="596">
        <f t="shared" si="10"/>
        <v>0</v>
      </c>
      <c r="BE48" s="596">
        <f t="shared" si="10"/>
        <v>0</v>
      </c>
      <c r="BF48" s="596">
        <f t="shared" si="10"/>
        <v>0</v>
      </c>
      <c r="BG48" s="596">
        <f t="shared" si="10"/>
        <v>0</v>
      </c>
      <c r="BH48" s="598">
        <f t="shared" si="10"/>
        <v>0</v>
      </c>
    </row>
    <row r="49" spans="2:60" s="630" customFormat="1" ht="11.25" x14ac:dyDescent="0.25">
      <c r="B49" s="903" t="s">
        <v>1513</v>
      </c>
      <c r="C49" s="904"/>
      <c r="D49" s="904"/>
      <c r="E49" s="904"/>
      <c r="F49" s="905"/>
      <c r="G49" s="528"/>
      <c r="H49" s="529"/>
      <c r="J49" s="599">
        <f t="shared" ref="J49" si="11">SUM(J22:J31)</f>
        <v>0</v>
      </c>
      <c r="K49" s="599">
        <f>SUM(K22:K48)</f>
        <v>0</v>
      </c>
      <c r="L49" s="599">
        <f>SUM(L22:L48)</f>
        <v>0</v>
      </c>
      <c r="M49" s="599">
        <f t="shared" ref="M49:BH49" si="12">SUM(M22:M48)</f>
        <v>0</v>
      </c>
      <c r="N49" s="599">
        <f t="shared" si="12"/>
        <v>0</v>
      </c>
      <c r="O49" s="599">
        <f t="shared" si="12"/>
        <v>0</v>
      </c>
      <c r="P49" s="599">
        <f t="shared" si="12"/>
        <v>0</v>
      </c>
      <c r="Q49" s="599">
        <f t="shared" si="12"/>
        <v>0</v>
      </c>
      <c r="R49" s="599">
        <f t="shared" si="12"/>
        <v>0</v>
      </c>
      <c r="S49" s="599">
        <f t="shared" si="12"/>
        <v>0</v>
      </c>
      <c r="T49" s="599">
        <f t="shared" si="12"/>
        <v>0</v>
      </c>
      <c r="U49" s="599">
        <f t="shared" si="12"/>
        <v>0</v>
      </c>
      <c r="V49" s="599">
        <f t="shared" si="12"/>
        <v>0</v>
      </c>
      <c r="W49" s="599">
        <f t="shared" si="12"/>
        <v>0</v>
      </c>
      <c r="X49" s="599">
        <f t="shared" si="12"/>
        <v>0</v>
      </c>
      <c r="Y49" s="599">
        <f t="shared" si="12"/>
        <v>0</v>
      </c>
      <c r="Z49" s="599">
        <f t="shared" si="12"/>
        <v>0</v>
      </c>
      <c r="AA49" s="599">
        <f t="shared" si="12"/>
        <v>0</v>
      </c>
      <c r="AB49" s="599">
        <f t="shared" si="12"/>
        <v>0</v>
      </c>
      <c r="AC49" s="599">
        <f t="shared" si="12"/>
        <v>0</v>
      </c>
      <c r="AD49" s="599">
        <f t="shared" si="12"/>
        <v>0</v>
      </c>
      <c r="AE49" s="599">
        <f t="shared" si="12"/>
        <v>0</v>
      </c>
      <c r="AF49" s="599">
        <f t="shared" si="12"/>
        <v>0</v>
      </c>
      <c r="AG49" s="599">
        <f t="shared" si="12"/>
        <v>0</v>
      </c>
      <c r="AH49" s="599">
        <f t="shared" si="12"/>
        <v>0</v>
      </c>
      <c r="AI49" s="599">
        <f t="shared" si="12"/>
        <v>0</v>
      </c>
      <c r="AJ49" s="599">
        <f t="shared" si="12"/>
        <v>0</v>
      </c>
      <c r="AK49" s="599">
        <f t="shared" si="12"/>
        <v>0</v>
      </c>
      <c r="AL49" s="599">
        <f t="shared" si="12"/>
        <v>0</v>
      </c>
      <c r="AM49" s="599">
        <f t="shared" si="12"/>
        <v>0</v>
      </c>
      <c r="AN49" s="599">
        <f t="shared" si="12"/>
        <v>0</v>
      </c>
      <c r="AO49" s="599">
        <f t="shared" si="12"/>
        <v>0</v>
      </c>
      <c r="AP49" s="599">
        <f t="shared" si="12"/>
        <v>0</v>
      </c>
      <c r="AQ49" s="599">
        <f t="shared" si="12"/>
        <v>0</v>
      </c>
      <c r="AR49" s="599">
        <f t="shared" si="12"/>
        <v>0</v>
      </c>
      <c r="AS49" s="599">
        <f t="shared" si="12"/>
        <v>0</v>
      </c>
      <c r="AT49" s="599">
        <f t="shared" si="12"/>
        <v>0</v>
      </c>
      <c r="AU49" s="599">
        <f t="shared" si="12"/>
        <v>0</v>
      </c>
      <c r="AV49" s="599">
        <f t="shared" si="12"/>
        <v>0</v>
      </c>
      <c r="AW49" s="599">
        <f t="shared" si="12"/>
        <v>0</v>
      </c>
      <c r="AX49" s="599">
        <f t="shared" si="12"/>
        <v>0</v>
      </c>
      <c r="AY49" s="599">
        <f t="shared" si="12"/>
        <v>0</v>
      </c>
      <c r="AZ49" s="599">
        <f t="shared" si="12"/>
        <v>0</v>
      </c>
      <c r="BA49" s="599">
        <f t="shared" si="12"/>
        <v>0</v>
      </c>
      <c r="BB49" s="599">
        <f t="shared" si="12"/>
        <v>0</v>
      </c>
      <c r="BC49" s="599">
        <f t="shared" si="12"/>
        <v>0</v>
      </c>
      <c r="BD49" s="599">
        <f t="shared" si="12"/>
        <v>0</v>
      </c>
      <c r="BE49" s="599">
        <f t="shared" si="12"/>
        <v>0</v>
      </c>
      <c r="BF49" s="599">
        <f t="shared" si="12"/>
        <v>0</v>
      </c>
      <c r="BG49" s="599">
        <f t="shared" si="12"/>
        <v>0</v>
      </c>
      <c r="BH49" s="599">
        <f t="shared" si="12"/>
        <v>0</v>
      </c>
    </row>
    <row r="50" spans="2:60" ht="4.9000000000000004" customHeight="1" x14ac:dyDescent="0.25">
      <c r="B50" s="530"/>
      <c r="C50" s="531"/>
      <c r="D50" s="531"/>
      <c r="E50" s="531"/>
      <c r="F50" s="531"/>
      <c r="G50" s="531"/>
      <c r="H50" s="531"/>
      <c r="J50" s="532"/>
      <c r="K50" s="532"/>
      <c r="L50" s="532"/>
      <c r="M50" s="532"/>
      <c r="N50" s="532"/>
      <c r="O50" s="532"/>
      <c r="P50" s="532"/>
      <c r="Q50" s="532"/>
      <c r="R50" s="532"/>
      <c r="S50" s="532"/>
      <c r="T50" s="532"/>
      <c r="U50" s="532"/>
      <c r="V50" s="532"/>
      <c r="W50" s="532"/>
      <c r="X50" s="532"/>
      <c r="Y50" s="532"/>
      <c r="Z50" s="532"/>
      <c r="AA50" s="532"/>
      <c r="AB50" s="532"/>
      <c r="AC50" s="532"/>
      <c r="AD50" s="532"/>
      <c r="AE50" s="532"/>
      <c r="AF50" s="532"/>
      <c r="AG50" s="532"/>
      <c r="AH50" s="532"/>
      <c r="AI50" s="532"/>
      <c r="AJ50" s="532"/>
      <c r="AK50" s="532"/>
      <c r="AL50" s="532"/>
      <c r="AM50" s="532"/>
      <c r="AN50" s="532"/>
      <c r="AO50" s="532"/>
      <c r="AP50" s="532"/>
      <c r="AQ50" s="532"/>
      <c r="AR50" s="532"/>
      <c r="AS50" s="532"/>
      <c r="AT50" s="532"/>
      <c r="AU50" s="532"/>
      <c r="AV50" s="532"/>
      <c r="AW50" s="532"/>
      <c r="AX50" s="532"/>
      <c r="AY50" s="532"/>
      <c r="AZ50" s="532"/>
      <c r="BA50" s="532"/>
      <c r="BB50" s="532"/>
      <c r="BC50" s="532"/>
      <c r="BD50" s="532"/>
      <c r="BE50" s="532"/>
      <c r="BF50" s="532"/>
      <c r="BG50" s="532"/>
      <c r="BH50" s="532"/>
    </row>
    <row r="51" spans="2:60" outlineLevel="1" x14ac:dyDescent="0.25">
      <c r="B51" s="533" t="s">
        <v>1514</v>
      </c>
      <c r="E51" s="534"/>
      <c r="F51" s="535"/>
      <c r="G51" s="535"/>
      <c r="H51" s="535"/>
      <c r="J51" s="519">
        <v>0</v>
      </c>
      <c r="K51" s="520">
        <v>1</v>
      </c>
      <c r="L51" s="520">
        <v>2</v>
      </c>
      <c r="M51" s="520">
        <v>3</v>
      </c>
      <c r="N51" s="520">
        <v>4</v>
      </c>
      <c r="O51" s="520">
        <v>5</v>
      </c>
      <c r="P51" s="520">
        <v>6</v>
      </c>
      <c r="Q51" s="520">
        <v>7</v>
      </c>
      <c r="R51" s="520">
        <v>8</v>
      </c>
      <c r="S51" s="520">
        <v>9</v>
      </c>
      <c r="T51" s="520">
        <v>10</v>
      </c>
      <c r="U51" s="520">
        <v>11</v>
      </c>
      <c r="V51" s="520">
        <v>12</v>
      </c>
      <c r="W51" s="520">
        <v>13</v>
      </c>
      <c r="X51" s="520">
        <v>14</v>
      </c>
      <c r="Y51" s="520">
        <v>15</v>
      </c>
      <c r="Z51" s="520">
        <v>16</v>
      </c>
      <c r="AA51" s="520">
        <v>17</v>
      </c>
      <c r="AB51" s="520">
        <v>18</v>
      </c>
      <c r="AC51" s="520">
        <v>19</v>
      </c>
      <c r="AD51" s="520">
        <v>20</v>
      </c>
      <c r="AE51" s="520">
        <v>21</v>
      </c>
      <c r="AF51" s="520">
        <v>22</v>
      </c>
      <c r="AG51" s="520">
        <v>23</v>
      </c>
      <c r="AH51" s="520">
        <v>24</v>
      </c>
      <c r="AI51" s="520">
        <v>25</v>
      </c>
      <c r="AJ51" s="520">
        <v>26</v>
      </c>
      <c r="AK51" s="520">
        <v>27</v>
      </c>
      <c r="AL51" s="520">
        <v>28</v>
      </c>
      <c r="AM51" s="520">
        <v>29</v>
      </c>
      <c r="AN51" s="520">
        <v>30</v>
      </c>
      <c r="AO51" s="520">
        <v>31</v>
      </c>
      <c r="AP51" s="520">
        <v>32</v>
      </c>
      <c r="AQ51" s="520">
        <v>33</v>
      </c>
      <c r="AR51" s="520">
        <v>34</v>
      </c>
      <c r="AS51" s="520">
        <v>35</v>
      </c>
      <c r="AT51" s="520">
        <v>36</v>
      </c>
      <c r="AU51" s="520">
        <v>37</v>
      </c>
      <c r="AV51" s="520">
        <v>38</v>
      </c>
      <c r="AW51" s="520">
        <v>39</v>
      </c>
      <c r="AX51" s="520">
        <v>40</v>
      </c>
      <c r="AY51" s="520">
        <v>41</v>
      </c>
      <c r="AZ51" s="520">
        <v>42</v>
      </c>
      <c r="BA51" s="520">
        <v>43</v>
      </c>
      <c r="BB51" s="520">
        <v>44</v>
      </c>
      <c r="BC51" s="520">
        <v>45</v>
      </c>
      <c r="BD51" s="520">
        <v>46</v>
      </c>
      <c r="BE51" s="520">
        <v>47</v>
      </c>
      <c r="BF51" s="520">
        <v>48</v>
      </c>
      <c r="BG51" s="520">
        <v>49</v>
      </c>
      <c r="BH51" s="520">
        <v>50</v>
      </c>
    </row>
    <row r="52" spans="2:60" outlineLevel="1" x14ac:dyDescent="0.25">
      <c r="B52" s="614" t="str">
        <f t="shared" ref="B52:B78" si="13">B22</f>
        <v>Juveniles</v>
      </c>
      <c r="E52" s="534"/>
      <c r="F52" s="535"/>
      <c r="G52" s="535"/>
      <c r="H52" s="535"/>
      <c r="J52" s="536"/>
      <c r="K52" s="602"/>
      <c r="L52" s="602"/>
      <c r="M52" s="602"/>
      <c r="N52" s="602"/>
      <c r="O52" s="602"/>
      <c r="P52" s="602"/>
      <c r="Q52" s="602"/>
      <c r="R52" s="602"/>
      <c r="S52" s="602"/>
      <c r="T52" s="602"/>
      <c r="U52" s="602"/>
      <c r="V52" s="602"/>
      <c r="W52" s="602"/>
      <c r="X52" s="602"/>
      <c r="Y52" s="602"/>
      <c r="Z52" s="602"/>
      <c r="AA52" s="602"/>
      <c r="AB52" s="602"/>
      <c r="AC52" s="602"/>
      <c r="AD52" s="602"/>
      <c r="AE52" s="602"/>
      <c r="AF52" s="602"/>
      <c r="AG52" s="602"/>
      <c r="AH52" s="602"/>
      <c r="AI52" s="602"/>
      <c r="AJ52" s="602"/>
      <c r="AK52" s="602"/>
      <c r="AL52" s="602"/>
      <c r="AM52" s="602"/>
      <c r="AN52" s="602"/>
      <c r="AO52" s="602"/>
      <c r="AP52" s="602"/>
      <c r="AQ52" s="602"/>
      <c r="AR52" s="602"/>
      <c r="AS52" s="602"/>
      <c r="AT52" s="602"/>
      <c r="AU52" s="602"/>
      <c r="AV52" s="602"/>
      <c r="AW52" s="602"/>
      <c r="AX52" s="602"/>
      <c r="AY52" s="602"/>
      <c r="AZ52" s="602"/>
      <c r="BA52" s="602"/>
      <c r="BB52" s="602"/>
      <c r="BC52" s="602"/>
      <c r="BD52" s="602"/>
      <c r="BE52" s="602"/>
      <c r="BF52" s="602"/>
      <c r="BG52" s="602"/>
      <c r="BH52" s="603"/>
    </row>
    <row r="53" spans="2:60" outlineLevel="1" x14ac:dyDescent="0.25">
      <c r="B53" s="615" t="str">
        <f t="shared" si="13"/>
        <v>Total feed</v>
      </c>
      <c r="E53" s="534"/>
      <c r="F53" s="535"/>
      <c r="G53" s="535"/>
      <c r="H53" s="535"/>
      <c r="J53" s="522"/>
      <c r="K53" s="602"/>
      <c r="L53" s="602"/>
      <c r="M53" s="602"/>
      <c r="N53" s="602"/>
      <c r="O53" s="602"/>
      <c r="P53" s="602"/>
      <c r="Q53" s="602"/>
      <c r="R53" s="602"/>
      <c r="S53" s="602"/>
      <c r="T53" s="602"/>
      <c r="U53" s="602"/>
      <c r="V53" s="602"/>
      <c r="W53" s="602"/>
      <c r="X53" s="602"/>
      <c r="Y53" s="602"/>
      <c r="Z53" s="602"/>
      <c r="AA53" s="602"/>
      <c r="AB53" s="602"/>
      <c r="AC53" s="602"/>
      <c r="AD53" s="602"/>
      <c r="AE53" s="602"/>
      <c r="AF53" s="602"/>
      <c r="AG53" s="602"/>
      <c r="AH53" s="602"/>
      <c r="AI53" s="602"/>
      <c r="AJ53" s="602"/>
      <c r="AK53" s="602"/>
      <c r="AL53" s="602"/>
      <c r="AM53" s="602"/>
      <c r="AN53" s="602"/>
      <c r="AO53" s="602"/>
      <c r="AP53" s="602"/>
      <c r="AQ53" s="602"/>
      <c r="AR53" s="602"/>
      <c r="AS53" s="602"/>
      <c r="AT53" s="602"/>
      <c r="AU53" s="602"/>
      <c r="AV53" s="602"/>
      <c r="AW53" s="602"/>
      <c r="AX53" s="602"/>
      <c r="AY53" s="602"/>
      <c r="AZ53" s="602"/>
      <c r="BA53" s="602"/>
      <c r="BB53" s="602"/>
      <c r="BC53" s="602"/>
      <c r="BD53" s="602"/>
      <c r="BE53" s="602"/>
      <c r="BF53" s="602"/>
      <c r="BG53" s="602"/>
      <c r="BH53" s="604"/>
    </row>
    <row r="54" spans="2:60" outlineLevel="1" x14ac:dyDescent="0.25">
      <c r="B54" s="615" t="str">
        <f t="shared" si="13"/>
        <v>Electricity</v>
      </c>
      <c r="E54" s="534"/>
      <c r="F54" s="535"/>
      <c r="G54" s="535"/>
      <c r="H54" s="535"/>
      <c r="J54" s="522"/>
      <c r="K54" s="602"/>
      <c r="L54" s="602"/>
      <c r="M54" s="602"/>
      <c r="N54" s="602"/>
      <c r="O54" s="602"/>
      <c r="P54" s="602"/>
      <c r="Q54" s="602"/>
      <c r="R54" s="602"/>
      <c r="S54" s="602"/>
      <c r="T54" s="602"/>
      <c r="U54" s="602"/>
      <c r="V54" s="602"/>
      <c r="W54" s="602"/>
      <c r="X54" s="602"/>
      <c r="Y54" s="602"/>
      <c r="Z54" s="602"/>
      <c r="AA54" s="602"/>
      <c r="AB54" s="602"/>
      <c r="AC54" s="602"/>
      <c r="AD54" s="602"/>
      <c r="AE54" s="602"/>
      <c r="AF54" s="602"/>
      <c r="AG54" s="602"/>
      <c r="AH54" s="602"/>
      <c r="AI54" s="602"/>
      <c r="AJ54" s="602"/>
      <c r="AK54" s="602"/>
      <c r="AL54" s="602"/>
      <c r="AM54" s="602"/>
      <c r="AN54" s="602"/>
      <c r="AO54" s="602"/>
      <c r="AP54" s="602"/>
      <c r="AQ54" s="602"/>
      <c r="AR54" s="602"/>
      <c r="AS54" s="602"/>
      <c r="AT54" s="602"/>
      <c r="AU54" s="602"/>
      <c r="AV54" s="602"/>
      <c r="AW54" s="602"/>
      <c r="AX54" s="602"/>
      <c r="AY54" s="602"/>
      <c r="AZ54" s="602"/>
      <c r="BA54" s="602"/>
      <c r="BB54" s="602"/>
      <c r="BC54" s="602"/>
      <c r="BD54" s="602"/>
      <c r="BE54" s="602"/>
      <c r="BF54" s="602"/>
      <c r="BG54" s="602"/>
      <c r="BH54" s="604"/>
    </row>
    <row r="55" spans="2:60" outlineLevel="1" x14ac:dyDescent="0.25">
      <c r="B55" s="615" t="str">
        <f t="shared" si="13"/>
        <v>Other chemicals</v>
      </c>
      <c r="E55" s="534"/>
      <c r="F55" s="535"/>
      <c r="G55" s="535"/>
      <c r="H55" s="535"/>
      <c r="J55" s="522"/>
      <c r="K55" s="602"/>
      <c r="L55" s="602"/>
      <c r="M55" s="602"/>
      <c r="N55" s="602"/>
      <c r="O55" s="602"/>
      <c r="P55" s="602"/>
      <c r="Q55" s="602"/>
      <c r="R55" s="602"/>
      <c r="S55" s="602"/>
      <c r="T55" s="602"/>
      <c r="U55" s="602"/>
      <c r="V55" s="602"/>
      <c r="W55" s="602"/>
      <c r="X55" s="602"/>
      <c r="Y55" s="602"/>
      <c r="Z55" s="602"/>
      <c r="AA55" s="602"/>
      <c r="AB55" s="602"/>
      <c r="AC55" s="602"/>
      <c r="AD55" s="602"/>
      <c r="AE55" s="602"/>
      <c r="AF55" s="602"/>
      <c r="AG55" s="602"/>
      <c r="AH55" s="602"/>
      <c r="AI55" s="602"/>
      <c r="AJ55" s="602"/>
      <c r="AK55" s="602"/>
      <c r="AL55" s="602"/>
      <c r="AM55" s="602"/>
      <c r="AN55" s="602"/>
      <c r="AO55" s="602"/>
      <c r="AP55" s="602"/>
      <c r="AQ55" s="602"/>
      <c r="AR55" s="602"/>
      <c r="AS55" s="602"/>
      <c r="AT55" s="602"/>
      <c r="AU55" s="602"/>
      <c r="AV55" s="602"/>
      <c r="AW55" s="602"/>
      <c r="AX55" s="602"/>
      <c r="AY55" s="602"/>
      <c r="AZ55" s="602"/>
      <c r="BA55" s="602"/>
      <c r="BB55" s="602"/>
      <c r="BC55" s="602"/>
      <c r="BD55" s="602"/>
      <c r="BE55" s="602"/>
      <c r="BF55" s="602"/>
      <c r="BG55" s="602"/>
      <c r="BH55" s="604"/>
    </row>
    <row r="56" spans="2:60" outlineLevel="1" x14ac:dyDescent="0.25">
      <c r="B56" s="615" t="str">
        <f t="shared" si="13"/>
        <v>Oxigen</v>
      </c>
      <c r="E56" s="534"/>
      <c r="F56" s="535"/>
      <c r="G56" s="535"/>
      <c r="H56" s="535"/>
      <c r="J56" s="522"/>
      <c r="K56" s="602"/>
      <c r="L56" s="602"/>
      <c r="M56" s="602"/>
      <c r="N56" s="602"/>
      <c r="O56" s="602"/>
      <c r="P56" s="602"/>
      <c r="Q56" s="602"/>
      <c r="R56" s="602"/>
      <c r="S56" s="602"/>
      <c r="T56" s="602"/>
      <c r="U56" s="602"/>
      <c r="V56" s="602"/>
      <c r="W56" s="602"/>
      <c r="X56" s="602"/>
      <c r="Y56" s="602"/>
      <c r="Z56" s="602"/>
      <c r="AA56" s="602"/>
      <c r="AB56" s="602"/>
      <c r="AC56" s="602"/>
      <c r="AD56" s="602"/>
      <c r="AE56" s="602"/>
      <c r="AF56" s="602"/>
      <c r="AG56" s="602"/>
      <c r="AH56" s="602"/>
      <c r="AI56" s="602"/>
      <c r="AJ56" s="602"/>
      <c r="AK56" s="602"/>
      <c r="AL56" s="602"/>
      <c r="AM56" s="602"/>
      <c r="AN56" s="602"/>
      <c r="AO56" s="602"/>
      <c r="AP56" s="602"/>
      <c r="AQ56" s="602"/>
      <c r="AR56" s="602"/>
      <c r="AS56" s="602"/>
      <c r="AT56" s="602"/>
      <c r="AU56" s="602"/>
      <c r="AV56" s="602"/>
      <c r="AW56" s="602"/>
      <c r="AX56" s="602"/>
      <c r="AY56" s="602"/>
      <c r="AZ56" s="602"/>
      <c r="BA56" s="602"/>
      <c r="BB56" s="602"/>
      <c r="BC56" s="602"/>
      <c r="BD56" s="602"/>
      <c r="BE56" s="602"/>
      <c r="BF56" s="602"/>
      <c r="BG56" s="602"/>
      <c r="BH56" s="604"/>
    </row>
    <row r="57" spans="2:60" outlineLevel="1" x14ac:dyDescent="0.25">
      <c r="B57" s="615" t="str">
        <f t="shared" si="13"/>
        <v xml:space="preserve">salt </v>
      </c>
      <c r="E57" s="534"/>
      <c r="F57" s="535"/>
      <c r="G57" s="535"/>
      <c r="H57" s="535"/>
      <c r="J57" s="522"/>
      <c r="K57" s="602"/>
      <c r="L57" s="602"/>
      <c r="M57" s="602"/>
      <c r="N57" s="602"/>
      <c r="O57" s="602"/>
      <c r="P57" s="602"/>
      <c r="Q57" s="602"/>
      <c r="R57" s="602"/>
      <c r="S57" s="602"/>
      <c r="T57" s="602"/>
      <c r="U57" s="602"/>
      <c r="V57" s="602"/>
      <c r="W57" s="602"/>
      <c r="X57" s="602"/>
      <c r="Y57" s="602"/>
      <c r="Z57" s="602"/>
      <c r="AA57" s="602"/>
      <c r="AB57" s="602"/>
      <c r="AC57" s="602"/>
      <c r="AD57" s="602"/>
      <c r="AE57" s="602"/>
      <c r="AF57" s="602"/>
      <c r="AG57" s="602"/>
      <c r="AH57" s="602"/>
      <c r="AI57" s="602"/>
      <c r="AJ57" s="602"/>
      <c r="AK57" s="602"/>
      <c r="AL57" s="602"/>
      <c r="AM57" s="602"/>
      <c r="AN57" s="602"/>
      <c r="AO57" s="602"/>
      <c r="AP57" s="602"/>
      <c r="AQ57" s="602"/>
      <c r="AR57" s="602"/>
      <c r="AS57" s="602"/>
      <c r="AT57" s="602"/>
      <c r="AU57" s="602"/>
      <c r="AV57" s="602"/>
      <c r="AW57" s="602"/>
      <c r="AX57" s="602"/>
      <c r="AY57" s="602"/>
      <c r="AZ57" s="602"/>
      <c r="BA57" s="602"/>
      <c r="BB57" s="602"/>
      <c r="BC57" s="602"/>
      <c r="BD57" s="602"/>
      <c r="BE57" s="602"/>
      <c r="BF57" s="602"/>
      <c r="BG57" s="602"/>
      <c r="BH57" s="604"/>
    </row>
    <row r="58" spans="2:60" outlineLevel="1" x14ac:dyDescent="0.25">
      <c r="B58" s="615" t="str">
        <f t="shared" si="13"/>
        <v>Insurance</v>
      </c>
      <c r="E58" s="534"/>
      <c r="F58" s="535"/>
      <c r="G58" s="535"/>
      <c r="H58" s="535"/>
      <c r="J58" s="522"/>
      <c r="K58" s="602"/>
      <c r="L58" s="602"/>
      <c r="M58" s="602"/>
      <c r="N58" s="602"/>
      <c r="O58" s="602"/>
      <c r="P58" s="602"/>
      <c r="Q58" s="602"/>
      <c r="R58" s="602"/>
      <c r="S58" s="602"/>
      <c r="T58" s="602"/>
      <c r="U58" s="602"/>
      <c r="V58" s="602"/>
      <c r="W58" s="602"/>
      <c r="X58" s="602"/>
      <c r="Y58" s="602"/>
      <c r="Z58" s="602"/>
      <c r="AA58" s="602"/>
      <c r="AB58" s="602"/>
      <c r="AC58" s="602"/>
      <c r="AD58" s="602"/>
      <c r="AE58" s="602"/>
      <c r="AF58" s="602"/>
      <c r="AG58" s="602"/>
      <c r="AH58" s="602"/>
      <c r="AI58" s="602"/>
      <c r="AJ58" s="602"/>
      <c r="AK58" s="602"/>
      <c r="AL58" s="602"/>
      <c r="AM58" s="602"/>
      <c r="AN58" s="602"/>
      <c r="AO58" s="602"/>
      <c r="AP58" s="602"/>
      <c r="AQ58" s="602"/>
      <c r="AR58" s="602"/>
      <c r="AS58" s="602"/>
      <c r="AT58" s="602"/>
      <c r="AU58" s="602"/>
      <c r="AV58" s="602"/>
      <c r="AW58" s="602"/>
      <c r="AX58" s="602"/>
      <c r="AY58" s="602"/>
      <c r="AZ58" s="602"/>
      <c r="BA58" s="602"/>
      <c r="BB58" s="602"/>
      <c r="BC58" s="602"/>
      <c r="BD58" s="602"/>
      <c r="BE58" s="602"/>
      <c r="BF58" s="602"/>
      <c r="BG58" s="602"/>
      <c r="BH58" s="604"/>
    </row>
    <row r="59" spans="2:60" outlineLevel="1" x14ac:dyDescent="0.25">
      <c r="B59" s="615" t="str">
        <f t="shared" si="13"/>
        <v>Manpower</v>
      </c>
      <c r="E59" s="534"/>
      <c r="F59" s="535"/>
      <c r="G59" s="535"/>
      <c r="H59" s="535"/>
      <c r="J59" s="522"/>
      <c r="K59" s="602"/>
      <c r="L59" s="602"/>
      <c r="M59" s="602"/>
      <c r="N59" s="602"/>
      <c r="O59" s="602"/>
      <c r="P59" s="602"/>
      <c r="Q59" s="602"/>
      <c r="R59" s="602"/>
      <c r="S59" s="602"/>
      <c r="T59" s="602"/>
      <c r="U59" s="602"/>
      <c r="V59" s="602"/>
      <c r="W59" s="602"/>
      <c r="X59" s="602"/>
      <c r="Y59" s="602"/>
      <c r="Z59" s="602"/>
      <c r="AA59" s="602"/>
      <c r="AB59" s="602"/>
      <c r="AC59" s="602"/>
      <c r="AD59" s="602"/>
      <c r="AE59" s="602"/>
      <c r="AF59" s="602"/>
      <c r="AG59" s="602"/>
      <c r="AH59" s="602"/>
      <c r="AI59" s="602"/>
      <c r="AJ59" s="602"/>
      <c r="AK59" s="602"/>
      <c r="AL59" s="602"/>
      <c r="AM59" s="602"/>
      <c r="AN59" s="602"/>
      <c r="AO59" s="602"/>
      <c r="AP59" s="602"/>
      <c r="AQ59" s="602"/>
      <c r="AR59" s="602"/>
      <c r="AS59" s="602"/>
      <c r="AT59" s="602"/>
      <c r="AU59" s="602"/>
      <c r="AV59" s="602"/>
      <c r="AW59" s="602"/>
      <c r="AX59" s="602"/>
      <c r="AY59" s="602"/>
      <c r="AZ59" s="602"/>
      <c r="BA59" s="602"/>
      <c r="BB59" s="602"/>
      <c r="BC59" s="602"/>
      <c r="BD59" s="602"/>
      <c r="BE59" s="602"/>
      <c r="BF59" s="602"/>
      <c r="BG59" s="602"/>
      <c r="BH59" s="604"/>
    </row>
    <row r="60" spans="2:60" outlineLevel="1" x14ac:dyDescent="0.25">
      <c r="B60" s="615" t="str">
        <f t="shared" si="13"/>
        <v>Pesticides</v>
      </c>
      <c r="E60" s="534"/>
      <c r="F60" s="535"/>
      <c r="G60" s="535"/>
      <c r="H60" s="535"/>
      <c r="J60" s="522"/>
      <c r="K60" s="602"/>
      <c r="L60" s="602"/>
      <c r="M60" s="602"/>
      <c r="N60" s="602"/>
      <c r="O60" s="602"/>
      <c r="P60" s="602"/>
      <c r="Q60" s="602"/>
      <c r="R60" s="602"/>
      <c r="S60" s="602"/>
      <c r="T60" s="602"/>
      <c r="U60" s="602"/>
      <c r="V60" s="602"/>
      <c r="W60" s="602"/>
      <c r="X60" s="602"/>
      <c r="Y60" s="602"/>
      <c r="Z60" s="602"/>
      <c r="AA60" s="602"/>
      <c r="AB60" s="602"/>
      <c r="AC60" s="602"/>
      <c r="AD60" s="602"/>
      <c r="AE60" s="602"/>
      <c r="AF60" s="602"/>
      <c r="AG60" s="602"/>
      <c r="AH60" s="602"/>
      <c r="AI60" s="602"/>
      <c r="AJ60" s="602"/>
      <c r="AK60" s="602"/>
      <c r="AL60" s="602"/>
      <c r="AM60" s="602"/>
      <c r="AN60" s="602"/>
      <c r="AO60" s="602"/>
      <c r="AP60" s="602"/>
      <c r="AQ60" s="602"/>
      <c r="AR60" s="602"/>
      <c r="AS60" s="602"/>
      <c r="AT60" s="602"/>
      <c r="AU60" s="602"/>
      <c r="AV60" s="602"/>
      <c r="AW60" s="602"/>
      <c r="AX60" s="602"/>
      <c r="AY60" s="602"/>
      <c r="AZ60" s="602"/>
      <c r="BA60" s="602"/>
      <c r="BB60" s="602"/>
      <c r="BC60" s="602"/>
      <c r="BD60" s="602"/>
      <c r="BE60" s="602"/>
      <c r="BF60" s="602"/>
      <c r="BG60" s="602"/>
      <c r="BH60" s="604"/>
    </row>
    <row r="61" spans="2:60" outlineLevel="1" x14ac:dyDescent="0.25">
      <c r="B61" s="615" t="str">
        <f t="shared" si="13"/>
        <v>Seedlings</v>
      </c>
      <c r="E61" s="534"/>
      <c r="F61" s="535"/>
      <c r="G61" s="535"/>
      <c r="H61" s="535"/>
      <c r="J61" s="522"/>
      <c r="K61" s="602"/>
      <c r="L61" s="602"/>
      <c r="M61" s="602"/>
      <c r="N61" s="602"/>
      <c r="O61" s="602"/>
      <c r="P61" s="602"/>
      <c r="Q61" s="602"/>
      <c r="R61" s="602"/>
      <c r="S61" s="602"/>
      <c r="T61" s="602"/>
      <c r="U61" s="602"/>
      <c r="V61" s="602"/>
      <c r="W61" s="602"/>
      <c r="X61" s="602"/>
      <c r="Y61" s="602"/>
      <c r="Z61" s="602"/>
      <c r="AA61" s="602"/>
      <c r="AB61" s="602"/>
      <c r="AC61" s="602"/>
      <c r="AD61" s="602"/>
      <c r="AE61" s="602"/>
      <c r="AF61" s="602"/>
      <c r="AG61" s="602"/>
      <c r="AH61" s="602"/>
      <c r="AI61" s="602"/>
      <c r="AJ61" s="602"/>
      <c r="AK61" s="602"/>
      <c r="AL61" s="602"/>
      <c r="AM61" s="602"/>
      <c r="AN61" s="602"/>
      <c r="AO61" s="602"/>
      <c r="AP61" s="602"/>
      <c r="AQ61" s="602"/>
      <c r="AR61" s="602"/>
      <c r="AS61" s="602"/>
      <c r="AT61" s="602"/>
      <c r="AU61" s="602"/>
      <c r="AV61" s="602"/>
      <c r="AW61" s="602"/>
      <c r="AX61" s="602"/>
      <c r="AY61" s="602"/>
      <c r="AZ61" s="602"/>
      <c r="BA61" s="602"/>
      <c r="BB61" s="602"/>
      <c r="BC61" s="602"/>
      <c r="BD61" s="602"/>
      <c r="BE61" s="602"/>
      <c r="BF61" s="602"/>
      <c r="BG61" s="602"/>
      <c r="BH61" s="604"/>
    </row>
    <row r="62" spans="2:60" outlineLevel="1" x14ac:dyDescent="0.25">
      <c r="B62" s="600" t="str">
        <f t="shared" si="13"/>
        <v>Depreciation (Straight-line Depreciation Method)</v>
      </c>
      <c r="E62" s="534"/>
      <c r="F62" s="535"/>
      <c r="G62" s="535"/>
      <c r="H62" s="535"/>
      <c r="J62" s="522"/>
      <c r="K62" s="602"/>
      <c r="L62" s="602"/>
      <c r="M62" s="602"/>
      <c r="N62" s="602"/>
      <c r="O62" s="602"/>
      <c r="P62" s="602"/>
      <c r="Q62" s="602"/>
      <c r="R62" s="602"/>
      <c r="S62" s="602"/>
      <c r="T62" s="602"/>
      <c r="U62" s="602"/>
      <c r="V62" s="602"/>
      <c r="W62" s="602"/>
      <c r="X62" s="602"/>
      <c r="Y62" s="602"/>
      <c r="Z62" s="602"/>
      <c r="AA62" s="602"/>
      <c r="AB62" s="602"/>
      <c r="AC62" s="602"/>
      <c r="AD62" s="602"/>
      <c r="AE62" s="602"/>
      <c r="AF62" s="602"/>
      <c r="AG62" s="602"/>
      <c r="AH62" s="602"/>
      <c r="AI62" s="602"/>
      <c r="AJ62" s="602"/>
      <c r="AK62" s="602"/>
      <c r="AL62" s="602"/>
      <c r="AM62" s="602"/>
      <c r="AN62" s="602"/>
      <c r="AO62" s="602"/>
      <c r="AP62" s="602"/>
      <c r="AQ62" s="602"/>
      <c r="AR62" s="602"/>
      <c r="AS62" s="602"/>
      <c r="AT62" s="602"/>
      <c r="AU62" s="602"/>
      <c r="AV62" s="602"/>
      <c r="AW62" s="602"/>
      <c r="AX62" s="602"/>
      <c r="AY62" s="602"/>
      <c r="AZ62" s="602"/>
      <c r="BA62" s="602"/>
      <c r="BB62" s="602"/>
      <c r="BC62" s="602"/>
      <c r="BD62" s="602"/>
      <c r="BE62" s="602"/>
      <c r="BF62" s="602"/>
      <c r="BG62" s="602"/>
      <c r="BH62" s="604"/>
    </row>
    <row r="63" spans="2:60" outlineLevel="1" x14ac:dyDescent="0.25">
      <c r="B63" s="600">
        <f t="shared" si="13"/>
        <v>0</v>
      </c>
      <c r="E63" s="534"/>
      <c r="F63" s="535"/>
      <c r="G63" s="535"/>
      <c r="H63" s="535"/>
      <c r="J63" s="522"/>
      <c r="K63" s="602"/>
      <c r="L63" s="602"/>
      <c r="M63" s="602"/>
      <c r="N63" s="602"/>
      <c r="O63" s="602"/>
      <c r="P63" s="602"/>
      <c r="Q63" s="602"/>
      <c r="R63" s="602"/>
      <c r="S63" s="602"/>
      <c r="T63" s="602"/>
      <c r="U63" s="602"/>
      <c r="V63" s="602"/>
      <c r="W63" s="602"/>
      <c r="X63" s="602"/>
      <c r="Y63" s="602"/>
      <c r="Z63" s="602"/>
      <c r="AA63" s="602"/>
      <c r="AB63" s="602"/>
      <c r="AC63" s="602"/>
      <c r="AD63" s="602"/>
      <c r="AE63" s="602"/>
      <c r="AF63" s="602"/>
      <c r="AG63" s="602"/>
      <c r="AH63" s="602"/>
      <c r="AI63" s="602"/>
      <c r="AJ63" s="602"/>
      <c r="AK63" s="602"/>
      <c r="AL63" s="602"/>
      <c r="AM63" s="602"/>
      <c r="AN63" s="602"/>
      <c r="AO63" s="602"/>
      <c r="AP63" s="602"/>
      <c r="AQ63" s="602"/>
      <c r="AR63" s="602"/>
      <c r="AS63" s="602"/>
      <c r="AT63" s="602"/>
      <c r="AU63" s="602"/>
      <c r="AV63" s="602"/>
      <c r="AW63" s="602"/>
      <c r="AX63" s="602"/>
      <c r="AY63" s="602"/>
      <c r="AZ63" s="602"/>
      <c r="BA63" s="602"/>
      <c r="BB63" s="602"/>
      <c r="BC63" s="602"/>
      <c r="BD63" s="602"/>
      <c r="BE63" s="602"/>
      <c r="BF63" s="602"/>
      <c r="BG63" s="602"/>
      <c r="BH63" s="604"/>
    </row>
    <row r="64" spans="2:60" outlineLevel="1" x14ac:dyDescent="0.25">
      <c r="B64" s="600">
        <f t="shared" si="13"/>
        <v>0</v>
      </c>
      <c r="E64" s="534"/>
      <c r="F64" s="535"/>
      <c r="G64" s="535"/>
      <c r="H64" s="535"/>
      <c r="J64" s="522"/>
      <c r="K64" s="602"/>
      <c r="L64" s="602"/>
      <c r="M64" s="602"/>
      <c r="N64" s="602"/>
      <c r="O64" s="602"/>
      <c r="P64" s="602"/>
      <c r="Q64" s="602"/>
      <c r="R64" s="602"/>
      <c r="S64" s="602"/>
      <c r="T64" s="602"/>
      <c r="U64" s="602"/>
      <c r="V64" s="602"/>
      <c r="W64" s="602"/>
      <c r="X64" s="602"/>
      <c r="Y64" s="602"/>
      <c r="Z64" s="602"/>
      <c r="AA64" s="602"/>
      <c r="AB64" s="602"/>
      <c r="AC64" s="602"/>
      <c r="AD64" s="602"/>
      <c r="AE64" s="602"/>
      <c r="AF64" s="602"/>
      <c r="AG64" s="602"/>
      <c r="AH64" s="602"/>
      <c r="AI64" s="602"/>
      <c r="AJ64" s="602"/>
      <c r="AK64" s="602"/>
      <c r="AL64" s="602"/>
      <c r="AM64" s="602"/>
      <c r="AN64" s="602"/>
      <c r="AO64" s="602"/>
      <c r="AP64" s="602"/>
      <c r="AQ64" s="602"/>
      <c r="AR64" s="602"/>
      <c r="AS64" s="602"/>
      <c r="AT64" s="602"/>
      <c r="AU64" s="602"/>
      <c r="AV64" s="602"/>
      <c r="AW64" s="602"/>
      <c r="AX64" s="602"/>
      <c r="AY64" s="602"/>
      <c r="AZ64" s="602"/>
      <c r="BA64" s="602"/>
      <c r="BB64" s="602"/>
      <c r="BC64" s="602"/>
      <c r="BD64" s="602"/>
      <c r="BE64" s="602"/>
      <c r="BF64" s="602"/>
      <c r="BG64" s="602"/>
      <c r="BH64" s="604"/>
    </row>
    <row r="65" spans="2:60" outlineLevel="1" x14ac:dyDescent="0.25">
      <c r="B65" s="600">
        <f t="shared" si="13"/>
        <v>0</v>
      </c>
      <c r="E65" s="534"/>
      <c r="F65" s="535"/>
      <c r="G65" s="535"/>
      <c r="H65" s="535"/>
      <c r="J65" s="522"/>
      <c r="K65" s="602"/>
      <c r="L65" s="602"/>
      <c r="M65" s="602"/>
      <c r="N65" s="602"/>
      <c r="O65" s="602"/>
      <c r="P65" s="602"/>
      <c r="Q65" s="602"/>
      <c r="R65" s="602"/>
      <c r="S65" s="602"/>
      <c r="T65" s="602"/>
      <c r="U65" s="602"/>
      <c r="V65" s="602"/>
      <c r="W65" s="602"/>
      <c r="X65" s="602"/>
      <c r="Y65" s="602"/>
      <c r="Z65" s="602"/>
      <c r="AA65" s="602"/>
      <c r="AB65" s="602"/>
      <c r="AC65" s="602"/>
      <c r="AD65" s="602"/>
      <c r="AE65" s="602"/>
      <c r="AF65" s="602"/>
      <c r="AG65" s="602"/>
      <c r="AH65" s="602"/>
      <c r="AI65" s="602"/>
      <c r="AJ65" s="602"/>
      <c r="AK65" s="602"/>
      <c r="AL65" s="602"/>
      <c r="AM65" s="602"/>
      <c r="AN65" s="602"/>
      <c r="AO65" s="602"/>
      <c r="AP65" s="602"/>
      <c r="AQ65" s="602"/>
      <c r="AR65" s="602"/>
      <c r="AS65" s="602"/>
      <c r="AT65" s="602"/>
      <c r="AU65" s="602"/>
      <c r="AV65" s="602"/>
      <c r="AW65" s="602"/>
      <c r="AX65" s="602"/>
      <c r="AY65" s="602"/>
      <c r="AZ65" s="602"/>
      <c r="BA65" s="602"/>
      <c r="BB65" s="602"/>
      <c r="BC65" s="602"/>
      <c r="BD65" s="602"/>
      <c r="BE65" s="602"/>
      <c r="BF65" s="602"/>
      <c r="BG65" s="602"/>
      <c r="BH65" s="604"/>
    </row>
    <row r="66" spans="2:60" outlineLevel="1" x14ac:dyDescent="0.25">
      <c r="B66" s="600">
        <f t="shared" si="13"/>
        <v>0</v>
      </c>
      <c r="E66" s="534"/>
      <c r="F66" s="535"/>
      <c r="G66" s="535"/>
      <c r="H66" s="535"/>
      <c r="J66" s="522"/>
      <c r="K66" s="602"/>
      <c r="L66" s="602"/>
      <c r="M66" s="602"/>
      <c r="N66" s="602"/>
      <c r="O66" s="602"/>
      <c r="P66" s="602"/>
      <c r="Q66" s="602"/>
      <c r="R66" s="602"/>
      <c r="S66" s="602"/>
      <c r="T66" s="602"/>
      <c r="U66" s="602"/>
      <c r="V66" s="602"/>
      <c r="W66" s="602"/>
      <c r="X66" s="602"/>
      <c r="Y66" s="602"/>
      <c r="Z66" s="602"/>
      <c r="AA66" s="602"/>
      <c r="AB66" s="602"/>
      <c r="AC66" s="602"/>
      <c r="AD66" s="602"/>
      <c r="AE66" s="602"/>
      <c r="AF66" s="602"/>
      <c r="AG66" s="602"/>
      <c r="AH66" s="602"/>
      <c r="AI66" s="602"/>
      <c r="AJ66" s="602"/>
      <c r="AK66" s="602"/>
      <c r="AL66" s="602"/>
      <c r="AM66" s="602"/>
      <c r="AN66" s="602"/>
      <c r="AO66" s="602"/>
      <c r="AP66" s="602"/>
      <c r="AQ66" s="602"/>
      <c r="AR66" s="602"/>
      <c r="AS66" s="602"/>
      <c r="AT66" s="602"/>
      <c r="AU66" s="602"/>
      <c r="AV66" s="602"/>
      <c r="AW66" s="602"/>
      <c r="AX66" s="602"/>
      <c r="AY66" s="602"/>
      <c r="AZ66" s="602"/>
      <c r="BA66" s="602"/>
      <c r="BB66" s="602"/>
      <c r="BC66" s="602"/>
      <c r="BD66" s="602"/>
      <c r="BE66" s="602"/>
      <c r="BF66" s="602"/>
      <c r="BG66" s="602"/>
      <c r="BH66" s="604"/>
    </row>
    <row r="67" spans="2:60" outlineLevel="1" x14ac:dyDescent="0.25">
      <c r="B67" s="600">
        <f t="shared" si="13"/>
        <v>0</v>
      </c>
      <c r="E67" s="534"/>
      <c r="F67" s="535"/>
      <c r="G67" s="535"/>
      <c r="H67" s="535"/>
      <c r="J67" s="522"/>
      <c r="K67" s="602"/>
      <c r="L67" s="602"/>
      <c r="M67" s="602"/>
      <c r="N67" s="602"/>
      <c r="O67" s="602"/>
      <c r="P67" s="602"/>
      <c r="Q67" s="602"/>
      <c r="R67" s="602"/>
      <c r="S67" s="602"/>
      <c r="T67" s="602"/>
      <c r="U67" s="602"/>
      <c r="V67" s="602"/>
      <c r="W67" s="602"/>
      <c r="X67" s="602"/>
      <c r="Y67" s="602"/>
      <c r="Z67" s="602"/>
      <c r="AA67" s="602"/>
      <c r="AB67" s="602"/>
      <c r="AC67" s="602"/>
      <c r="AD67" s="602"/>
      <c r="AE67" s="602"/>
      <c r="AF67" s="602"/>
      <c r="AG67" s="602"/>
      <c r="AH67" s="602"/>
      <c r="AI67" s="602"/>
      <c r="AJ67" s="602"/>
      <c r="AK67" s="602"/>
      <c r="AL67" s="602"/>
      <c r="AM67" s="602"/>
      <c r="AN67" s="602"/>
      <c r="AO67" s="602"/>
      <c r="AP67" s="602"/>
      <c r="AQ67" s="602"/>
      <c r="AR67" s="602"/>
      <c r="AS67" s="602"/>
      <c r="AT67" s="602"/>
      <c r="AU67" s="602"/>
      <c r="AV67" s="602"/>
      <c r="AW67" s="602"/>
      <c r="AX67" s="602"/>
      <c r="AY67" s="602"/>
      <c r="AZ67" s="602"/>
      <c r="BA67" s="602"/>
      <c r="BB67" s="602"/>
      <c r="BC67" s="602"/>
      <c r="BD67" s="602"/>
      <c r="BE67" s="602"/>
      <c r="BF67" s="602"/>
      <c r="BG67" s="602"/>
      <c r="BH67" s="604"/>
    </row>
    <row r="68" spans="2:60" outlineLevel="1" x14ac:dyDescent="0.25">
      <c r="B68" s="600">
        <f t="shared" si="13"/>
        <v>0</v>
      </c>
      <c r="E68" s="534"/>
      <c r="F68" s="535"/>
      <c r="G68" s="535"/>
      <c r="H68" s="535"/>
      <c r="J68" s="522"/>
      <c r="K68" s="602"/>
      <c r="L68" s="602"/>
      <c r="M68" s="602"/>
      <c r="N68" s="602"/>
      <c r="O68" s="602"/>
      <c r="P68" s="602"/>
      <c r="Q68" s="602"/>
      <c r="R68" s="602"/>
      <c r="S68" s="602"/>
      <c r="T68" s="602"/>
      <c r="U68" s="602"/>
      <c r="V68" s="602"/>
      <c r="W68" s="602"/>
      <c r="X68" s="602"/>
      <c r="Y68" s="602"/>
      <c r="Z68" s="602"/>
      <c r="AA68" s="602"/>
      <c r="AB68" s="602"/>
      <c r="AC68" s="602"/>
      <c r="AD68" s="602"/>
      <c r="AE68" s="602"/>
      <c r="AF68" s="602"/>
      <c r="AG68" s="602"/>
      <c r="AH68" s="602"/>
      <c r="AI68" s="602"/>
      <c r="AJ68" s="602"/>
      <c r="AK68" s="602"/>
      <c r="AL68" s="602"/>
      <c r="AM68" s="602"/>
      <c r="AN68" s="602"/>
      <c r="AO68" s="602"/>
      <c r="AP68" s="602"/>
      <c r="AQ68" s="602"/>
      <c r="AR68" s="602"/>
      <c r="AS68" s="602"/>
      <c r="AT68" s="602"/>
      <c r="AU68" s="602"/>
      <c r="AV68" s="602"/>
      <c r="AW68" s="602"/>
      <c r="AX68" s="602"/>
      <c r="AY68" s="602"/>
      <c r="AZ68" s="602"/>
      <c r="BA68" s="602"/>
      <c r="BB68" s="602"/>
      <c r="BC68" s="602"/>
      <c r="BD68" s="602"/>
      <c r="BE68" s="602"/>
      <c r="BF68" s="602"/>
      <c r="BG68" s="602"/>
      <c r="BH68" s="604"/>
    </row>
    <row r="69" spans="2:60" outlineLevel="1" x14ac:dyDescent="0.25">
      <c r="B69" s="600">
        <f t="shared" si="13"/>
        <v>0</v>
      </c>
      <c r="E69" s="534"/>
      <c r="F69" s="535"/>
      <c r="G69" s="535"/>
      <c r="H69" s="535"/>
      <c r="J69" s="522"/>
      <c r="K69" s="602"/>
      <c r="L69" s="602"/>
      <c r="M69" s="602"/>
      <c r="N69" s="602"/>
      <c r="O69" s="602"/>
      <c r="P69" s="602"/>
      <c r="Q69" s="602"/>
      <c r="R69" s="602"/>
      <c r="S69" s="602"/>
      <c r="T69" s="602"/>
      <c r="U69" s="602"/>
      <c r="V69" s="602"/>
      <c r="W69" s="602"/>
      <c r="X69" s="602"/>
      <c r="Y69" s="602"/>
      <c r="Z69" s="602"/>
      <c r="AA69" s="602"/>
      <c r="AB69" s="602"/>
      <c r="AC69" s="602"/>
      <c r="AD69" s="602"/>
      <c r="AE69" s="602"/>
      <c r="AF69" s="602"/>
      <c r="AG69" s="602"/>
      <c r="AH69" s="602"/>
      <c r="AI69" s="602"/>
      <c r="AJ69" s="602"/>
      <c r="AK69" s="602"/>
      <c r="AL69" s="602"/>
      <c r="AM69" s="602"/>
      <c r="AN69" s="602"/>
      <c r="AO69" s="602"/>
      <c r="AP69" s="602"/>
      <c r="AQ69" s="602"/>
      <c r="AR69" s="602"/>
      <c r="AS69" s="602"/>
      <c r="AT69" s="602"/>
      <c r="AU69" s="602"/>
      <c r="AV69" s="602"/>
      <c r="AW69" s="602"/>
      <c r="AX69" s="602"/>
      <c r="AY69" s="602"/>
      <c r="AZ69" s="602"/>
      <c r="BA69" s="602"/>
      <c r="BB69" s="602"/>
      <c r="BC69" s="602"/>
      <c r="BD69" s="602"/>
      <c r="BE69" s="602"/>
      <c r="BF69" s="602"/>
      <c r="BG69" s="602"/>
      <c r="BH69" s="604"/>
    </row>
    <row r="70" spans="2:60" outlineLevel="1" x14ac:dyDescent="0.25">
      <c r="B70" s="600">
        <f t="shared" si="13"/>
        <v>0</v>
      </c>
      <c r="E70" s="534"/>
      <c r="F70" s="535"/>
      <c r="G70" s="535"/>
      <c r="H70" s="535"/>
      <c r="J70" s="522"/>
      <c r="K70" s="602"/>
      <c r="L70" s="602"/>
      <c r="M70" s="602"/>
      <c r="N70" s="602"/>
      <c r="O70" s="602"/>
      <c r="P70" s="602"/>
      <c r="Q70" s="602"/>
      <c r="R70" s="602"/>
      <c r="S70" s="602"/>
      <c r="T70" s="602"/>
      <c r="U70" s="602"/>
      <c r="V70" s="602"/>
      <c r="W70" s="602"/>
      <c r="X70" s="602"/>
      <c r="Y70" s="602"/>
      <c r="Z70" s="602"/>
      <c r="AA70" s="602"/>
      <c r="AB70" s="602"/>
      <c r="AC70" s="602"/>
      <c r="AD70" s="602"/>
      <c r="AE70" s="602"/>
      <c r="AF70" s="602"/>
      <c r="AG70" s="602"/>
      <c r="AH70" s="602"/>
      <c r="AI70" s="602"/>
      <c r="AJ70" s="602"/>
      <c r="AK70" s="602"/>
      <c r="AL70" s="602"/>
      <c r="AM70" s="602"/>
      <c r="AN70" s="602"/>
      <c r="AO70" s="602"/>
      <c r="AP70" s="602"/>
      <c r="AQ70" s="602"/>
      <c r="AR70" s="602"/>
      <c r="AS70" s="602"/>
      <c r="AT70" s="602"/>
      <c r="AU70" s="602"/>
      <c r="AV70" s="602"/>
      <c r="AW70" s="602"/>
      <c r="AX70" s="602"/>
      <c r="AY70" s="602"/>
      <c r="AZ70" s="602"/>
      <c r="BA70" s="602"/>
      <c r="BB70" s="602"/>
      <c r="BC70" s="602"/>
      <c r="BD70" s="602"/>
      <c r="BE70" s="602"/>
      <c r="BF70" s="602"/>
      <c r="BG70" s="602"/>
      <c r="BH70" s="604"/>
    </row>
    <row r="71" spans="2:60" outlineLevel="1" x14ac:dyDescent="0.25">
      <c r="B71" s="600">
        <f t="shared" si="13"/>
        <v>0</v>
      </c>
      <c r="E71" s="534"/>
      <c r="F71" s="535"/>
      <c r="G71" s="535"/>
      <c r="H71" s="535"/>
      <c r="J71" s="522"/>
      <c r="K71" s="602"/>
      <c r="L71" s="602"/>
      <c r="M71" s="602"/>
      <c r="N71" s="602"/>
      <c r="O71" s="602"/>
      <c r="P71" s="602"/>
      <c r="Q71" s="602"/>
      <c r="R71" s="602"/>
      <c r="S71" s="602"/>
      <c r="T71" s="602"/>
      <c r="U71" s="602"/>
      <c r="V71" s="602"/>
      <c r="W71" s="602"/>
      <c r="X71" s="602"/>
      <c r="Y71" s="602"/>
      <c r="Z71" s="602"/>
      <c r="AA71" s="602"/>
      <c r="AB71" s="602"/>
      <c r="AC71" s="602"/>
      <c r="AD71" s="602"/>
      <c r="AE71" s="602"/>
      <c r="AF71" s="602"/>
      <c r="AG71" s="602"/>
      <c r="AH71" s="602"/>
      <c r="AI71" s="602"/>
      <c r="AJ71" s="602"/>
      <c r="AK71" s="602"/>
      <c r="AL71" s="602"/>
      <c r="AM71" s="602"/>
      <c r="AN71" s="602"/>
      <c r="AO71" s="602"/>
      <c r="AP71" s="602"/>
      <c r="AQ71" s="602"/>
      <c r="AR71" s="602"/>
      <c r="AS71" s="602"/>
      <c r="AT71" s="602"/>
      <c r="AU71" s="602"/>
      <c r="AV71" s="602"/>
      <c r="AW71" s="602"/>
      <c r="AX71" s="602"/>
      <c r="AY71" s="602"/>
      <c r="AZ71" s="602"/>
      <c r="BA71" s="602"/>
      <c r="BB71" s="602"/>
      <c r="BC71" s="602"/>
      <c r="BD71" s="602"/>
      <c r="BE71" s="602"/>
      <c r="BF71" s="602"/>
      <c r="BG71" s="602"/>
      <c r="BH71" s="604"/>
    </row>
    <row r="72" spans="2:60" outlineLevel="1" x14ac:dyDescent="0.25">
      <c r="B72" s="600">
        <f t="shared" si="13"/>
        <v>0</v>
      </c>
      <c r="E72" s="534"/>
      <c r="F72" s="535"/>
      <c r="G72" s="535"/>
      <c r="H72" s="535"/>
      <c r="J72" s="522"/>
      <c r="K72" s="602"/>
      <c r="L72" s="602"/>
      <c r="M72" s="602"/>
      <c r="N72" s="602"/>
      <c r="O72" s="602"/>
      <c r="P72" s="602"/>
      <c r="Q72" s="602"/>
      <c r="R72" s="602"/>
      <c r="S72" s="602"/>
      <c r="T72" s="602"/>
      <c r="U72" s="602"/>
      <c r="V72" s="602"/>
      <c r="W72" s="602"/>
      <c r="X72" s="602"/>
      <c r="Y72" s="602"/>
      <c r="Z72" s="602"/>
      <c r="AA72" s="602"/>
      <c r="AB72" s="602"/>
      <c r="AC72" s="602"/>
      <c r="AD72" s="602"/>
      <c r="AE72" s="602"/>
      <c r="AF72" s="602"/>
      <c r="AG72" s="602"/>
      <c r="AH72" s="602"/>
      <c r="AI72" s="602"/>
      <c r="AJ72" s="602"/>
      <c r="AK72" s="602"/>
      <c r="AL72" s="602"/>
      <c r="AM72" s="602"/>
      <c r="AN72" s="602"/>
      <c r="AO72" s="602"/>
      <c r="AP72" s="602"/>
      <c r="AQ72" s="602"/>
      <c r="AR72" s="602"/>
      <c r="AS72" s="602"/>
      <c r="AT72" s="602"/>
      <c r="AU72" s="602"/>
      <c r="AV72" s="602"/>
      <c r="AW72" s="602"/>
      <c r="AX72" s="602"/>
      <c r="AY72" s="602"/>
      <c r="AZ72" s="602"/>
      <c r="BA72" s="602"/>
      <c r="BB72" s="602"/>
      <c r="BC72" s="602"/>
      <c r="BD72" s="602"/>
      <c r="BE72" s="602"/>
      <c r="BF72" s="602"/>
      <c r="BG72" s="602"/>
      <c r="BH72" s="604"/>
    </row>
    <row r="73" spans="2:60" outlineLevel="1" x14ac:dyDescent="0.25">
      <c r="B73" s="600">
        <f t="shared" si="13"/>
        <v>0</v>
      </c>
      <c r="E73" s="534"/>
      <c r="F73" s="535"/>
      <c r="G73" s="535"/>
      <c r="H73" s="535"/>
      <c r="J73" s="522"/>
      <c r="K73" s="602"/>
      <c r="L73" s="602"/>
      <c r="M73" s="602"/>
      <c r="N73" s="602"/>
      <c r="O73" s="602"/>
      <c r="P73" s="602"/>
      <c r="Q73" s="602"/>
      <c r="R73" s="602"/>
      <c r="S73" s="602"/>
      <c r="T73" s="602"/>
      <c r="U73" s="602"/>
      <c r="V73" s="602"/>
      <c r="W73" s="602"/>
      <c r="X73" s="602"/>
      <c r="Y73" s="602"/>
      <c r="Z73" s="602"/>
      <c r="AA73" s="602"/>
      <c r="AB73" s="602"/>
      <c r="AC73" s="602"/>
      <c r="AD73" s="602"/>
      <c r="AE73" s="602"/>
      <c r="AF73" s="602"/>
      <c r="AG73" s="602"/>
      <c r="AH73" s="602"/>
      <c r="AI73" s="602"/>
      <c r="AJ73" s="602"/>
      <c r="AK73" s="602"/>
      <c r="AL73" s="602"/>
      <c r="AM73" s="602"/>
      <c r="AN73" s="602"/>
      <c r="AO73" s="602"/>
      <c r="AP73" s="602"/>
      <c r="AQ73" s="602"/>
      <c r="AR73" s="602"/>
      <c r="AS73" s="602"/>
      <c r="AT73" s="602"/>
      <c r="AU73" s="602"/>
      <c r="AV73" s="602"/>
      <c r="AW73" s="602"/>
      <c r="AX73" s="602"/>
      <c r="AY73" s="602"/>
      <c r="AZ73" s="602"/>
      <c r="BA73" s="602"/>
      <c r="BB73" s="602"/>
      <c r="BC73" s="602"/>
      <c r="BD73" s="602"/>
      <c r="BE73" s="602"/>
      <c r="BF73" s="602"/>
      <c r="BG73" s="602"/>
      <c r="BH73" s="604"/>
    </row>
    <row r="74" spans="2:60" outlineLevel="1" x14ac:dyDescent="0.25">
      <c r="B74" s="600">
        <f t="shared" si="13"/>
        <v>0</v>
      </c>
      <c r="E74" s="534"/>
      <c r="F74" s="535"/>
      <c r="G74" s="535"/>
      <c r="H74" s="535"/>
      <c r="J74" s="522"/>
      <c r="K74" s="602"/>
      <c r="L74" s="602"/>
      <c r="M74" s="602"/>
      <c r="N74" s="602"/>
      <c r="O74" s="602"/>
      <c r="P74" s="602"/>
      <c r="Q74" s="602"/>
      <c r="R74" s="602"/>
      <c r="S74" s="602"/>
      <c r="T74" s="602"/>
      <c r="U74" s="602"/>
      <c r="V74" s="602"/>
      <c r="W74" s="602"/>
      <c r="X74" s="602"/>
      <c r="Y74" s="602"/>
      <c r="Z74" s="602"/>
      <c r="AA74" s="602"/>
      <c r="AB74" s="602"/>
      <c r="AC74" s="602"/>
      <c r="AD74" s="602"/>
      <c r="AE74" s="602"/>
      <c r="AF74" s="602"/>
      <c r="AG74" s="602"/>
      <c r="AH74" s="602"/>
      <c r="AI74" s="602"/>
      <c r="AJ74" s="602"/>
      <c r="AK74" s="602"/>
      <c r="AL74" s="602"/>
      <c r="AM74" s="602"/>
      <c r="AN74" s="602"/>
      <c r="AO74" s="602"/>
      <c r="AP74" s="602"/>
      <c r="AQ74" s="602"/>
      <c r="AR74" s="602"/>
      <c r="AS74" s="602"/>
      <c r="AT74" s="602"/>
      <c r="AU74" s="602"/>
      <c r="AV74" s="602"/>
      <c r="AW74" s="602"/>
      <c r="AX74" s="602"/>
      <c r="AY74" s="602"/>
      <c r="AZ74" s="602"/>
      <c r="BA74" s="602"/>
      <c r="BB74" s="602"/>
      <c r="BC74" s="602"/>
      <c r="BD74" s="602"/>
      <c r="BE74" s="602"/>
      <c r="BF74" s="602"/>
      <c r="BG74" s="602"/>
      <c r="BH74" s="604"/>
    </row>
    <row r="75" spans="2:60" outlineLevel="1" x14ac:dyDescent="0.25">
      <c r="B75" s="600">
        <f t="shared" si="13"/>
        <v>0</v>
      </c>
      <c r="E75" s="534"/>
      <c r="F75" s="535"/>
      <c r="G75" s="535"/>
      <c r="H75" s="535"/>
      <c r="J75" s="522"/>
      <c r="K75" s="602"/>
      <c r="L75" s="602"/>
      <c r="M75" s="602"/>
      <c r="N75" s="602"/>
      <c r="O75" s="602"/>
      <c r="P75" s="602"/>
      <c r="Q75" s="602"/>
      <c r="R75" s="602"/>
      <c r="S75" s="602"/>
      <c r="T75" s="602"/>
      <c r="U75" s="602"/>
      <c r="V75" s="602"/>
      <c r="W75" s="602"/>
      <c r="X75" s="602"/>
      <c r="Y75" s="602"/>
      <c r="Z75" s="602"/>
      <c r="AA75" s="602"/>
      <c r="AB75" s="602"/>
      <c r="AC75" s="602"/>
      <c r="AD75" s="602"/>
      <c r="AE75" s="602"/>
      <c r="AF75" s="602"/>
      <c r="AG75" s="602"/>
      <c r="AH75" s="602"/>
      <c r="AI75" s="602"/>
      <c r="AJ75" s="602"/>
      <c r="AK75" s="602"/>
      <c r="AL75" s="602"/>
      <c r="AM75" s="602"/>
      <c r="AN75" s="602"/>
      <c r="AO75" s="602"/>
      <c r="AP75" s="602"/>
      <c r="AQ75" s="602"/>
      <c r="AR75" s="602"/>
      <c r="AS75" s="602"/>
      <c r="AT75" s="602"/>
      <c r="AU75" s="602"/>
      <c r="AV75" s="602"/>
      <c r="AW75" s="602"/>
      <c r="AX75" s="602"/>
      <c r="AY75" s="602"/>
      <c r="AZ75" s="602"/>
      <c r="BA75" s="602"/>
      <c r="BB75" s="602"/>
      <c r="BC75" s="602"/>
      <c r="BD75" s="602"/>
      <c r="BE75" s="602"/>
      <c r="BF75" s="602"/>
      <c r="BG75" s="602"/>
      <c r="BH75" s="604"/>
    </row>
    <row r="76" spans="2:60" outlineLevel="1" x14ac:dyDescent="0.25">
      <c r="B76" s="600">
        <f t="shared" si="13"/>
        <v>0</v>
      </c>
      <c r="E76" s="534"/>
      <c r="F76" s="535"/>
      <c r="G76" s="535"/>
      <c r="H76" s="535"/>
      <c r="J76" s="522"/>
      <c r="K76" s="602"/>
      <c r="L76" s="602"/>
      <c r="M76" s="602"/>
      <c r="N76" s="602"/>
      <c r="O76" s="602"/>
      <c r="P76" s="602"/>
      <c r="Q76" s="602"/>
      <c r="R76" s="602"/>
      <c r="S76" s="602"/>
      <c r="T76" s="602"/>
      <c r="U76" s="602"/>
      <c r="V76" s="602"/>
      <c r="W76" s="602"/>
      <c r="X76" s="602"/>
      <c r="Y76" s="602"/>
      <c r="Z76" s="602"/>
      <c r="AA76" s="602"/>
      <c r="AB76" s="602"/>
      <c r="AC76" s="602"/>
      <c r="AD76" s="602"/>
      <c r="AE76" s="602"/>
      <c r="AF76" s="602"/>
      <c r="AG76" s="602"/>
      <c r="AH76" s="602"/>
      <c r="AI76" s="602"/>
      <c r="AJ76" s="602"/>
      <c r="AK76" s="602"/>
      <c r="AL76" s="602"/>
      <c r="AM76" s="602"/>
      <c r="AN76" s="602"/>
      <c r="AO76" s="602"/>
      <c r="AP76" s="602"/>
      <c r="AQ76" s="602"/>
      <c r="AR76" s="602"/>
      <c r="AS76" s="602"/>
      <c r="AT76" s="602"/>
      <c r="AU76" s="602"/>
      <c r="AV76" s="602"/>
      <c r="AW76" s="602"/>
      <c r="AX76" s="602"/>
      <c r="AY76" s="602"/>
      <c r="AZ76" s="602"/>
      <c r="BA76" s="602"/>
      <c r="BB76" s="602"/>
      <c r="BC76" s="602"/>
      <c r="BD76" s="602"/>
      <c r="BE76" s="602"/>
      <c r="BF76" s="602"/>
      <c r="BG76" s="602"/>
      <c r="BH76" s="604"/>
    </row>
    <row r="77" spans="2:60" outlineLevel="1" x14ac:dyDescent="0.25">
      <c r="B77" s="600">
        <f t="shared" si="13"/>
        <v>0</v>
      </c>
      <c r="E77" s="534"/>
      <c r="F77" s="535"/>
      <c r="G77" s="535"/>
      <c r="H77" s="535"/>
      <c r="J77" s="522"/>
      <c r="K77" s="602"/>
      <c r="L77" s="602"/>
      <c r="M77" s="602"/>
      <c r="N77" s="602"/>
      <c r="O77" s="602"/>
      <c r="P77" s="602"/>
      <c r="Q77" s="602"/>
      <c r="R77" s="602"/>
      <c r="S77" s="602"/>
      <c r="T77" s="602"/>
      <c r="U77" s="602"/>
      <c r="V77" s="602"/>
      <c r="W77" s="602"/>
      <c r="X77" s="602"/>
      <c r="Y77" s="602"/>
      <c r="Z77" s="602"/>
      <c r="AA77" s="602"/>
      <c r="AB77" s="602"/>
      <c r="AC77" s="602"/>
      <c r="AD77" s="602"/>
      <c r="AE77" s="602"/>
      <c r="AF77" s="602"/>
      <c r="AG77" s="602"/>
      <c r="AH77" s="602"/>
      <c r="AI77" s="602"/>
      <c r="AJ77" s="602"/>
      <c r="AK77" s="602"/>
      <c r="AL77" s="602"/>
      <c r="AM77" s="602"/>
      <c r="AN77" s="602"/>
      <c r="AO77" s="602"/>
      <c r="AP77" s="602"/>
      <c r="AQ77" s="602"/>
      <c r="AR77" s="602"/>
      <c r="AS77" s="602"/>
      <c r="AT77" s="602"/>
      <c r="AU77" s="602"/>
      <c r="AV77" s="602"/>
      <c r="AW77" s="602"/>
      <c r="AX77" s="602"/>
      <c r="AY77" s="602"/>
      <c r="AZ77" s="602"/>
      <c r="BA77" s="602"/>
      <c r="BB77" s="602"/>
      <c r="BC77" s="602"/>
      <c r="BD77" s="602"/>
      <c r="BE77" s="602"/>
      <c r="BF77" s="602"/>
      <c r="BG77" s="602"/>
      <c r="BH77" s="604"/>
    </row>
    <row r="78" spans="2:60" outlineLevel="1" x14ac:dyDescent="0.25">
      <c r="B78" s="601">
        <f t="shared" si="13"/>
        <v>0</v>
      </c>
      <c r="C78" s="537"/>
      <c r="D78" s="537"/>
      <c r="E78" s="538"/>
      <c r="F78" s="539"/>
      <c r="G78" s="539"/>
      <c r="H78" s="539"/>
      <c r="J78" s="527"/>
      <c r="K78" s="605"/>
      <c r="L78" s="606"/>
      <c r="M78" s="606"/>
      <c r="N78" s="606"/>
      <c r="O78" s="606"/>
      <c r="P78" s="606"/>
      <c r="Q78" s="606"/>
      <c r="R78" s="606"/>
      <c r="S78" s="606"/>
      <c r="T78" s="606"/>
      <c r="U78" s="606"/>
      <c r="V78" s="606"/>
      <c r="W78" s="606"/>
      <c r="X78" s="606"/>
      <c r="Y78" s="606"/>
      <c r="Z78" s="606"/>
      <c r="AA78" s="606"/>
      <c r="AB78" s="606"/>
      <c r="AC78" s="606"/>
      <c r="AD78" s="606"/>
      <c r="AE78" s="606"/>
      <c r="AF78" s="606"/>
      <c r="AG78" s="606"/>
      <c r="AH78" s="606"/>
      <c r="AI78" s="606"/>
      <c r="AJ78" s="606"/>
      <c r="AK78" s="606"/>
      <c r="AL78" s="606"/>
      <c r="AM78" s="606"/>
      <c r="AN78" s="606"/>
      <c r="AO78" s="606"/>
      <c r="AP78" s="606"/>
      <c r="AQ78" s="606"/>
      <c r="AR78" s="606"/>
      <c r="AS78" s="606"/>
      <c r="AT78" s="606"/>
      <c r="AU78" s="606"/>
      <c r="AV78" s="606"/>
      <c r="AW78" s="606"/>
      <c r="AX78" s="606"/>
      <c r="AY78" s="606"/>
      <c r="AZ78" s="606"/>
      <c r="BA78" s="606"/>
      <c r="BB78" s="606"/>
      <c r="BC78" s="606"/>
      <c r="BD78" s="606"/>
      <c r="BE78" s="606"/>
      <c r="BF78" s="606"/>
      <c r="BG78" s="606"/>
      <c r="BH78" s="607"/>
    </row>
    <row r="79" spans="2:60" outlineLevel="1" x14ac:dyDescent="0.25">
      <c r="B79" s="540"/>
      <c r="E79" s="534"/>
      <c r="F79" s="535"/>
      <c r="G79" s="535"/>
      <c r="H79" s="535"/>
      <c r="K79" s="512"/>
      <c r="L79" s="512"/>
      <c r="M79" s="512"/>
      <c r="N79" s="512"/>
      <c r="O79" s="512"/>
      <c r="P79" s="512"/>
      <c r="Q79" s="512"/>
      <c r="R79" s="512"/>
      <c r="S79" s="512"/>
      <c r="T79" s="512"/>
      <c r="U79" s="512"/>
      <c r="V79" s="512"/>
      <c r="W79" s="512"/>
      <c r="X79" s="512"/>
      <c r="Y79" s="512"/>
      <c r="Z79" s="512"/>
      <c r="AA79" s="512"/>
      <c r="AB79" s="512"/>
      <c r="AC79" s="512"/>
      <c r="AD79" s="512"/>
      <c r="AE79" s="512"/>
      <c r="AF79" s="512"/>
      <c r="AG79" s="512"/>
      <c r="AH79" s="512"/>
      <c r="AI79" s="512"/>
      <c r="AJ79" s="512"/>
      <c r="AK79" s="512"/>
      <c r="AL79" s="512"/>
      <c r="AM79" s="512"/>
      <c r="AN79" s="512"/>
    </row>
    <row r="80" spans="2:60" x14ac:dyDescent="0.25">
      <c r="E80" s="534"/>
      <c r="F80" s="535"/>
      <c r="G80" s="535"/>
      <c r="H80" s="535"/>
    </row>
    <row r="81" spans="2:60" x14ac:dyDescent="0.25">
      <c r="B81" s="517" t="s">
        <v>1515</v>
      </c>
      <c r="C81" s="541" t="s">
        <v>1516</v>
      </c>
      <c r="D81" s="541" t="s">
        <v>1503</v>
      </c>
      <c r="E81" s="541" t="s">
        <v>1517</v>
      </c>
      <c r="J81" s="519">
        <v>0</v>
      </c>
      <c r="K81" s="520">
        <v>1</v>
      </c>
      <c r="L81" s="520">
        <v>2</v>
      </c>
      <c r="M81" s="520">
        <v>3</v>
      </c>
      <c r="N81" s="520">
        <v>4</v>
      </c>
      <c r="O81" s="520">
        <v>5</v>
      </c>
      <c r="P81" s="520">
        <v>6</v>
      </c>
      <c r="Q81" s="520">
        <v>7</v>
      </c>
      <c r="R81" s="520">
        <v>8</v>
      </c>
      <c r="S81" s="520">
        <v>9</v>
      </c>
      <c r="T81" s="520">
        <v>10</v>
      </c>
      <c r="U81" s="520">
        <v>11</v>
      </c>
      <c r="V81" s="520">
        <v>12</v>
      </c>
      <c r="W81" s="520">
        <v>13</v>
      </c>
      <c r="X81" s="520">
        <v>14</v>
      </c>
      <c r="Y81" s="520">
        <v>15</v>
      </c>
      <c r="Z81" s="520">
        <v>16</v>
      </c>
      <c r="AA81" s="520">
        <v>17</v>
      </c>
      <c r="AB81" s="520">
        <v>18</v>
      </c>
      <c r="AC81" s="520">
        <v>19</v>
      </c>
      <c r="AD81" s="520">
        <v>20</v>
      </c>
      <c r="AE81" s="520">
        <v>21</v>
      </c>
      <c r="AF81" s="520">
        <v>22</v>
      </c>
      <c r="AG81" s="520">
        <v>23</v>
      </c>
      <c r="AH81" s="520">
        <v>24</v>
      </c>
      <c r="AI81" s="520">
        <v>25</v>
      </c>
      <c r="AJ81" s="520">
        <v>26</v>
      </c>
      <c r="AK81" s="520">
        <v>27</v>
      </c>
      <c r="AL81" s="520">
        <v>28</v>
      </c>
      <c r="AM81" s="520">
        <v>29</v>
      </c>
      <c r="AN81" s="520">
        <v>30</v>
      </c>
      <c r="AO81" s="520">
        <v>31</v>
      </c>
      <c r="AP81" s="520">
        <v>32</v>
      </c>
      <c r="AQ81" s="520">
        <v>33</v>
      </c>
      <c r="AR81" s="520">
        <v>34</v>
      </c>
      <c r="AS81" s="520">
        <v>35</v>
      </c>
      <c r="AT81" s="520">
        <v>36</v>
      </c>
      <c r="AU81" s="520">
        <v>37</v>
      </c>
      <c r="AV81" s="520">
        <v>38</v>
      </c>
      <c r="AW81" s="520">
        <v>39</v>
      </c>
      <c r="AX81" s="520">
        <v>40</v>
      </c>
      <c r="AY81" s="520">
        <v>41</v>
      </c>
      <c r="AZ81" s="520">
        <v>42</v>
      </c>
      <c r="BA81" s="520">
        <v>43</v>
      </c>
      <c r="BB81" s="520">
        <v>44</v>
      </c>
      <c r="BC81" s="520">
        <v>45</v>
      </c>
      <c r="BD81" s="520">
        <v>46</v>
      </c>
      <c r="BE81" s="520">
        <v>47</v>
      </c>
      <c r="BF81" s="520">
        <v>48</v>
      </c>
      <c r="BG81" s="520">
        <v>49</v>
      </c>
      <c r="BH81" s="520">
        <v>50</v>
      </c>
    </row>
    <row r="82" spans="2:60" x14ac:dyDescent="0.25">
      <c r="B82" s="569" t="s">
        <v>1518</v>
      </c>
      <c r="C82" s="572" t="e">
        <f t="shared" ref="C82:C111" si="14">D82/($F$18-$C$7)</f>
        <v>#DIV/0!</v>
      </c>
      <c r="D82" s="579"/>
      <c r="E82" s="579"/>
      <c r="J82" s="521"/>
      <c r="K82" s="523">
        <f>IF($E82=K$81,$D82,0)</f>
        <v>0</v>
      </c>
      <c r="L82" s="523">
        <f>IF($E82=L$81,$D82,0)</f>
        <v>0</v>
      </c>
      <c r="M82" s="523">
        <f t="shared" ref="M82:AN91" si="15">IF($E82=M$81,$D82,0)</f>
        <v>0</v>
      </c>
      <c r="N82" s="523">
        <f t="shared" si="15"/>
        <v>0</v>
      </c>
      <c r="O82" s="523">
        <f t="shared" si="15"/>
        <v>0</v>
      </c>
      <c r="P82" s="523">
        <f t="shared" si="15"/>
        <v>0</v>
      </c>
      <c r="Q82" s="523">
        <f t="shared" si="15"/>
        <v>0</v>
      </c>
      <c r="R82" s="608">
        <f t="shared" si="15"/>
        <v>0</v>
      </c>
      <c r="S82" s="523">
        <f t="shared" si="15"/>
        <v>0</v>
      </c>
      <c r="T82" s="523">
        <f t="shared" si="15"/>
        <v>0</v>
      </c>
      <c r="U82" s="523">
        <f t="shared" si="15"/>
        <v>0</v>
      </c>
      <c r="V82" s="523">
        <f t="shared" si="15"/>
        <v>0</v>
      </c>
      <c r="W82" s="523">
        <f t="shared" si="15"/>
        <v>0</v>
      </c>
      <c r="X82" s="523">
        <f t="shared" si="15"/>
        <v>0</v>
      </c>
      <c r="Y82" s="523">
        <f t="shared" si="15"/>
        <v>0</v>
      </c>
      <c r="Z82" s="523">
        <f t="shared" si="15"/>
        <v>0</v>
      </c>
      <c r="AA82" s="523">
        <f t="shared" si="15"/>
        <v>0</v>
      </c>
      <c r="AB82" s="523">
        <f t="shared" si="15"/>
        <v>0</v>
      </c>
      <c r="AC82" s="523">
        <f t="shared" si="15"/>
        <v>0</v>
      </c>
      <c r="AD82" s="523">
        <f t="shared" si="15"/>
        <v>0</v>
      </c>
      <c r="AE82" s="523">
        <f t="shared" si="15"/>
        <v>0</v>
      </c>
      <c r="AF82" s="523">
        <f t="shared" si="15"/>
        <v>0</v>
      </c>
      <c r="AG82" s="523">
        <f t="shared" si="15"/>
        <v>0</v>
      </c>
      <c r="AH82" s="523">
        <f t="shared" si="15"/>
        <v>0</v>
      </c>
      <c r="AI82" s="523">
        <f t="shared" si="15"/>
        <v>0</v>
      </c>
      <c r="AJ82" s="523">
        <f t="shared" si="15"/>
        <v>0</v>
      </c>
      <c r="AK82" s="523">
        <f t="shared" si="15"/>
        <v>0</v>
      </c>
      <c r="AL82" s="523">
        <f t="shared" si="15"/>
        <v>0</v>
      </c>
      <c r="AM82" s="523">
        <f t="shared" si="15"/>
        <v>0</v>
      </c>
      <c r="AN82" s="523">
        <f t="shared" si="15"/>
        <v>0</v>
      </c>
      <c r="AO82" s="523">
        <f t="shared" ref="AO82:BH95" si="16">IF($E82=AO$81,$D82,0)</f>
        <v>0</v>
      </c>
      <c r="AP82" s="523">
        <f t="shared" si="16"/>
        <v>0</v>
      </c>
      <c r="AQ82" s="523">
        <f t="shared" si="16"/>
        <v>0</v>
      </c>
      <c r="AR82" s="523">
        <f t="shared" si="16"/>
        <v>0</v>
      </c>
      <c r="AS82" s="523">
        <f t="shared" si="16"/>
        <v>0</v>
      </c>
      <c r="AT82" s="523">
        <f t="shared" si="16"/>
        <v>0</v>
      </c>
      <c r="AU82" s="523">
        <f t="shared" si="16"/>
        <v>0</v>
      </c>
      <c r="AV82" s="523">
        <f t="shared" si="16"/>
        <v>0</v>
      </c>
      <c r="AW82" s="523">
        <f t="shared" si="16"/>
        <v>0</v>
      </c>
      <c r="AX82" s="523">
        <f t="shared" si="16"/>
        <v>0</v>
      </c>
      <c r="AY82" s="523">
        <f t="shared" si="16"/>
        <v>0</v>
      </c>
      <c r="AZ82" s="523">
        <f t="shared" si="16"/>
        <v>0</v>
      </c>
      <c r="BA82" s="523">
        <f t="shared" si="16"/>
        <v>0</v>
      </c>
      <c r="BB82" s="523">
        <f t="shared" si="16"/>
        <v>0</v>
      </c>
      <c r="BC82" s="523">
        <f t="shared" si="16"/>
        <v>0</v>
      </c>
      <c r="BD82" s="523">
        <f t="shared" si="16"/>
        <v>0</v>
      </c>
      <c r="BE82" s="523">
        <f t="shared" si="16"/>
        <v>0</v>
      </c>
      <c r="BF82" s="523">
        <f t="shared" si="16"/>
        <v>0</v>
      </c>
      <c r="BG82" s="523">
        <f t="shared" si="16"/>
        <v>0</v>
      </c>
      <c r="BH82" s="525">
        <f t="shared" si="16"/>
        <v>0</v>
      </c>
    </row>
    <row r="83" spans="2:60" x14ac:dyDescent="0.25">
      <c r="B83" s="570" t="s">
        <v>1518</v>
      </c>
      <c r="C83" s="574" t="e">
        <f t="shared" si="14"/>
        <v>#DIV/0!</v>
      </c>
      <c r="D83" s="580"/>
      <c r="E83" s="580"/>
      <c r="J83" s="524"/>
      <c r="K83" s="523">
        <f t="shared" ref="K83:Z106" si="17">IF($E83=K$81,$D83,0)</f>
        <v>0</v>
      </c>
      <c r="L83" s="523">
        <f t="shared" si="17"/>
        <v>0</v>
      </c>
      <c r="M83" s="523">
        <f t="shared" si="15"/>
        <v>0</v>
      </c>
      <c r="N83" s="523">
        <f t="shared" si="15"/>
        <v>0</v>
      </c>
      <c r="O83" s="523">
        <f t="shared" si="15"/>
        <v>0</v>
      </c>
      <c r="P83" s="523">
        <f t="shared" si="15"/>
        <v>0</v>
      </c>
      <c r="Q83" s="523">
        <f t="shared" si="15"/>
        <v>0</v>
      </c>
      <c r="R83" s="523">
        <f t="shared" si="15"/>
        <v>0</v>
      </c>
      <c r="S83" s="523">
        <f t="shared" si="15"/>
        <v>0</v>
      </c>
      <c r="T83" s="523">
        <f t="shared" si="15"/>
        <v>0</v>
      </c>
      <c r="U83" s="523">
        <f t="shared" si="15"/>
        <v>0</v>
      </c>
      <c r="V83" s="523">
        <f t="shared" si="15"/>
        <v>0</v>
      </c>
      <c r="W83" s="523">
        <f t="shared" si="15"/>
        <v>0</v>
      </c>
      <c r="X83" s="523">
        <f t="shared" si="15"/>
        <v>0</v>
      </c>
      <c r="Y83" s="523">
        <f t="shared" si="15"/>
        <v>0</v>
      </c>
      <c r="Z83" s="523">
        <f t="shared" si="15"/>
        <v>0</v>
      </c>
      <c r="AA83" s="523">
        <f t="shared" si="15"/>
        <v>0</v>
      </c>
      <c r="AB83" s="523">
        <f t="shared" si="15"/>
        <v>0</v>
      </c>
      <c r="AC83" s="523">
        <f t="shared" si="15"/>
        <v>0</v>
      </c>
      <c r="AD83" s="523">
        <f t="shared" si="15"/>
        <v>0</v>
      </c>
      <c r="AE83" s="523">
        <f t="shared" si="15"/>
        <v>0</v>
      </c>
      <c r="AF83" s="523">
        <f t="shared" si="15"/>
        <v>0</v>
      </c>
      <c r="AG83" s="523">
        <f t="shared" si="15"/>
        <v>0</v>
      </c>
      <c r="AH83" s="523">
        <f t="shared" si="15"/>
        <v>0</v>
      </c>
      <c r="AI83" s="523">
        <f t="shared" si="15"/>
        <v>0</v>
      </c>
      <c r="AJ83" s="523">
        <f t="shared" si="15"/>
        <v>0</v>
      </c>
      <c r="AK83" s="523">
        <f t="shared" si="15"/>
        <v>0</v>
      </c>
      <c r="AL83" s="523">
        <f t="shared" si="15"/>
        <v>0</v>
      </c>
      <c r="AM83" s="523">
        <f t="shared" si="15"/>
        <v>0</v>
      </c>
      <c r="AN83" s="523">
        <f t="shared" si="15"/>
        <v>0</v>
      </c>
      <c r="AO83" s="523">
        <f t="shared" si="16"/>
        <v>0</v>
      </c>
      <c r="AP83" s="523">
        <f t="shared" si="16"/>
        <v>0</v>
      </c>
      <c r="AQ83" s="523">
        <f t="shared" si="16"/>
        <v>0</v>
      </c>
      <c r="AR83" s="523">
        <f t="shared" si="16"/>
        <v>0</v>
      </c>
      <c r="AS83" s="523">
        <f t="shared" si="16"/>
        <v>0</v>
      </c>
      <c r="AT83" s="523">
        <f t="shared" si="16"/>
        <v>0</v>
      </c>
      <c r="AU83" s="523">
        <f t="shared" si="16"/>
        <v>0</v>
      </c>
      <c r="AV83" s="523">
        <f t="shared" si="16"/>
        <v>0</v>
      </c>
      <c r="AW83" s="523">
        <f t="shared" si="16"/>
        <v>0</v>
      </c>
      <c r="AX83" s="523">
        <f t="shared" si="16"/>
        <v>0</v>
      </c>
      <c r="AY83" s="523">
        <f t="shared" si="16"/>
        <v>0</v>
      </c>
      <c r="AZ83" s="523">
        <f t="shared" si="16"/>
        <v>0</v>
      </c>
      <c r="BA83" s="523">
        <f t="shared" si="16"/>
        <v>0</v>
      </c>
      <c r="BB83" s="523">
        <f t="shared" si="16"/>
        <v>0</v>
      </c>
      <c r="BC83" s="523">
        <f t="shared" si="16"/>
        <v>0</v>
      </c>
      <c r="BD83" s="523">
        <f t="shared" si="16"/>
        <v>0</v>
      </c>
      <c r="BE83" s="523">
        <f t="shared" si="16"/>
        <v>0</v>
      </c>
      <c r="BF83" s="523">
        <f t="shared" si="16"/>
        <v>0</v>
      </c>
      <c r="BG83" s="523">
        <f t="shared" si="16"/>
        <v>0</v>
      </c>
      <c r="BH83" s="525">
        <f t="shared" si="16"/>
        <v>0</v>
      </c>
    </row>
    <row r="84" spans="2:60" x14ac:dyDescent="0.25">
      <c r="B84" s="570" t="s">
        <v>1518</v>
      </c>
      <c r="C84" s="574" t="e">
        <f t="shared" si="14"/>
        <v>#DIV/0!</v>
      </c>
      <c r="D84" s="580"/>
      <c r="E84" s="580"/>
      <c r="J84" s="524"/>
      <c r="K84" s="523">
        <f t="shared" si="17"/>
        <v>0</v>
      </c>
      <c r="L84" s="523">
        <f t="shared" si="17"/>
        <v>0</v>
      </c>
      <c r="M84" s="523">
        <f t="shared" si="15"/>
        <v>0</v>
      </c>
      <c r="N84" s="523">
        <f t="shared" si="15"/>
        <v>0</v>
      </c>
      <c r="O84" s="523">
        <f t="shared" si="15"/>
        <v>0</v>
      </c>
      <c r="P84" s="523">
        <f t="shared" si="15"/>
        <v>0</v>
      </c>
      <c r="Q84" s="523">
        <f t="shared" si="15"/>
        <v>0</v>
      </c>
      <c r="R84" s="523">
        <f t="shared" si="15"/>
        <v>0</v>
      </c>
      <c r="S84" s="523">
        <f t="shared" si="15"/>
        <v>0</v>
      </c>
      <c r="T84" s="523">
        <f t="shared" si="15"/>
        <v>0</v>
      </c>
      <c r="U84" s="523">
        <f t="shared" si="15"/>
        <v>0</v>
      </c>
      <c r="V84" s="523">
        <f t="shared" si="15"/>
        <v>0</v>
      </c>
      <c r="W84" s="523">
        <f t="shared" si="15"/>
        <v>0</v>
      </c>
      <c r="X84" s="523">
        <f t="shared" si="15"/>
        <v>0</v>
      </c>
      <c r="Y84" s="523">
        <f t="shared" si="15"/>
        <v>0</v>
      </c>
      <c r="Z84" s="523">
        <f t="shared" si="15"/>
        <v>0</v>
      </c>
      <c r="AA84" s="523">
        <f t="shared" si="15"/>
        <v>0</v>
      </c>
      <c r="AB84" s="523">
        <f t="shared" si="15"/>
        <v>0</v>
      </c>
      <c r="AC84" s="523">
        <f t="shared" si="15"/>
        <v>0</v>
      </c>
      <c r="AD84" s="523">
        <f t="shared" si="15"/>
        <v>0</v>
      </c>
      <c r="AE84" s="523">
        <f t="shared" si="15"/>
        <v>0</v>
      </c>
      <c r="AF84" s="523">
        <f t="shared" si="15"/>
        <v>0</v>
      </c>
      <c r="AG84" s="523">
        <f t="shared" si="15"/>
        <v>0</v>
      </c>
      <c r="AH84" s="523">
        <f t="shared" si="15"/>
        <v>0</v>
      </c>
      <c r="AI84" s="523">
        <f t="shared" si="15"/>
        <v>0</v>
      </c>
      <c r="AJ84" s="523">
        <f t="shared" si="15"/>
        <v>0</v>
      </c>
      <c r="AK84" s="523">
        <f t="shared" si="15"/>
        <v>0</v>
      </c>
      <c r="AL84" s="523">
        <f t="shared" si="15"/>
        <v>0</v>
      </c>
      <c r="AM84" s="523">
        <f t="shared" si="15"/>
        <v>0</v>
      </c>
      <c r="AN84" s="523">
        <f t="shared" si="15"/>
        <v>0</v>
      </c>
      <c r="AO84" s="523">
        <f t="shared" si="16"/>
        <v>0</v>
      </c>
      <c r="AP84" s="523">
        <f t="shared" si="16"/>
        <v>0</v>
      </c>
      <c r="AQ84" s="523">
        <f t="shared" si="16"/>
        <v>0</v>
      </c>
      <c r="AR84" s="523">
        <f t="shared" si="16"/>
        <v>0</v>
      </c>
      <c r="AS84" s="523">
        <f t="shared" si="16"/>
        <v>0</v>
      </c>
      <c r="AT84" s="523">
        <f t="shared" si="16"/>
        <v>0</v>
      </c>
      <c r="AU84" s="523">
        <f t="shared" si="16"/>
        <v>0</v>
      </c>
      <c r="AV84" s="523">
        <f t="shared" si="16"/>
        <v>0</v>
      </c>
      <c r="AW84" s="523">
        <f t="shared" si="16"/>
        <v>0</v>
      </c>
      <c r="AX84" s="523">
        <f t="shared" si="16"/>
        <v>0</v>
      </c>
      <c r="AY84" s="523">
        <f t="shared" si="16"/>
        <v>0</v>
      </c>
      <c r="AZ84" s="523">
        <f t="shared" si="16"/>
        <v>0</v>
      </c>
      <c r="BA84" s="523">
        <f t="shared" si="16"/>
        <v>0</v>
      </c>
      <c r="BB84" s="523">
        <f t="shared" si="16"/>
        <v>0</v>
      </c>
      <c r="BC84" s="523">
        <f t="shared" si="16"/>
        <v>0</v>
      </c>
      <c r="BD84" s="523">
        <f t="shared" si="16"/>
        <v>0</v>
      </c>
      <c r="BE84" s="523">
        <f t="shared" si="16"/>
        <v>0</v>
      </c>
      <c r="BF84" s="523">
        <f t="shared" si="16"/>
        <v>0</v>
      </c>
      <c r="BG84" s="523">
        <f t="shared" si="16"/>
        <v>0</v>
      </c>
      <c r="BH84" s="525">
        <f t="shared" si="16"/>
        <v>0</v>
      </c>
    </row>
    <row r="85" spans="2:60" x14ac:dyDescent="0.25">
      <c r="B85" s="570" t="s">
        <v>1519</v>
      </c>
      <c r="C85" s="574" t="e">
        <f t="shared" si="14"/>
        <v>#DIV/0!</v>
      </c>
      <c r="D85" s="580"/>
      <c r="E85" s="580"/>
      <c r="J85" s="524"/>
      <c r="K85" s="523">
        <f t="shared" si="17"/>
        <v>0</v>
      </c>
      <c r="L85" s="523">
        <f t="shared" si="17"/>
        <v>0</v>
      </c>
      <c r="M85" s="523">
        <f t="shared" si="15"/>
        <v>0</v>
      </c>
      <c r="N85" s="523">
        <f t="shared" si="15"/>
        <v>0</v>
      </c>
      <c r="O85" s="523">
        <f t="shared" si="15"/>
        <v>0</v>
      </c>
      <c r="P85" s="523">
        <f t="shared" si="15"/>
        <v>0</v>
      </c>
      <c r="Q85" s="523">
        <f t="shared" si="15"/>
        <v>0</v>
      </c>
      <c r="R85" s="523">
        <f t="shared" si="15"/>
        <v>0</v>
      </c>
      <c r="S85" s="523">
        <f t="shared" si="15"/>
        <v>0</v>
      </c>
      <c r="T85" s="523">
        <f t="shared" si="15"/>
        <v>0</v>
      </c>
      <c r="U85" s="523">
        <f t="shared" si="15"/>
        <v>0</v>
      </c>
      <c r="V85" s="523">
        <f t="shared" si="15"/>
        <v>0</v>
      </c>
      <c r="W85" s="523">
        <f t="shared" si="15"/>
        <v>0</v>
      </c>
      <c r="X85" s="523">
        <f t="shared" si="15"/>
        <v>0</v>
      </c>
      <c r="Y85" s="523">
        <f t="shared" si="15"/>
        <v>0</v>
      </c>
      <c r="Z85" s="523">
        <f t="shared" si="15"/>
        <v>0</v>
      </c>
      <c r="AA85" s="523">
        <f t="shared" si="15"/>
        <v>0</v>
      </c>
      <c r="AB85" s="523">
        <f t="shared" si="15"/>
        <v>0</v>
      </c>
      <c r="AC85" s="523">
        <f t="shared" si="15"/>
        <v>0</v>
      </c>
      <c r="AD85" s="523">
        <f t="shared" si="15"/>
        <v>0</v>
      </c>
      <c r="AE85" s="523">
        <f t="shared" si="15"/>
        <v>0</v>
      </c>
      <c r="AF85" s="523">
        <f t="shared" si="15"/>
        <v>0</v>
      </c>
      <c r="AG85" s="523">
        <f t="shared" si="15"/>
        <v>0</v>
      </c>
      <c r="AH85" s="523">
        <f t="shared" si="15"/>
        <v>0</v>
      </c>
      <c r="AI85" s="523">
        <f t="shared" si="15"/>
        <v>0</v>
      </c>
      <c r="AJ85" s="523">
        <f t="shared" si="15"/>
        <v>0</v>
      </c>
      <c r="AK85" s="523">
        <f t="shared" si="15"/>
        <v>0</v>
      </c>
      <c r="AL85" s="523">
        <f t="shared" si="15"/>
        <v>0</v>
      </c>
      <c r="AM85" s="523">
        <f t="shared" si="15"/>
        <v>0</v>
      </c>
      <c r="AN85" s="523">
        <f t="shared" si="15"/>
        <v>0</v>
      </c>
      <c r="AO85" s="523">
        <f t="shared" si="16"/>
        <v>0</v>
      </c>
      <c r="AP85" s="523">
        <f t="shared" si="16"/>
        <v>0</v>
      </c>
      <c r="AQ85" s="523">
        <f t="shared" si="16"/>
        <v>0</v>
      </c>
      <c r="AR85" s="523">
        <f t="shared" si="16"/>
        <v>0</v>
      </c>
      <c r="AS85" s="523">
        <f t="shared" si="16"/>
        <v>0</v>
      </c>
      <c r="AT85" s="523">
        <f t="shared" si="16"/>
        <v>0</v>
      </c>
      <c r="AU85" s="523">
        <f t="shared" si="16"/>
        <v>0</v>
      </c>
      <c r="AV85" s="523">
        <f t="shared" si="16"/>
        <v>0</v>
      </c>
      <c r="AW85" s="523">
        <f t="shared" si="16"/>
        <v>0</v>
      </c>
      <c r="AX85" s="523">
        <f t="shared" si="16"/>
        <v>0</v>
      </c>
      <c r="AY85" s="523">
        <f t="shared" si="16"/>
        <v>0</v>
      </c>
      <c r="AZ85" s="523">
        <f t="shared" si="16"/>
        <v>0</v>
      </c>
      <c r="BA85" s="523">
        <f t="shared" si="16"/>
        <v>0</v>
      </c>
      <c r="BB85" s="523">
        <f t="shared" si="16"/>
        <v>0</v>
      </c>
      <c r="BC85" s="523">
        <f t="shared" si="16"/>
        <v>0</v>
      </c>
      <c r="BD85" s="523">
        <f t="shared" si="16"/>
        <v>0</v>
      </c>
      <c r="BE85" s="523">
        <f t="shared" si="16"/>
        <v>0</v>
      </c>
      <c r="BF85" s="523">
        <f t="shared" si="16"/>
        <v>0</v>
      </c>
      <c r="BG85" s="523">
        <f t="shared" si="16"/>
        <v>0</v>
      </c>
      <c r="BH85" s="525">
        <f t="shared" si="16"/>
        <v>0</v>
      </c>
    </row>
    <row r="86" spans="2:60" x14ac:dyDescent="0.25">
      <c r="B86" s="570" t="s">
        <v>1519</v>
      </c>
      <c r="C86" s="574" t="e">
        <f t="shared" si="14"/>
        <v>#DIV/0!</v>
      </c>
      <c r="D86" s="580"/>
      <c r="E86" s="580"/>
      <c r="J86" s="524"/>
      <c r="K86" s="523">
        <f t="shared" si="17"/>
        <v>0</v>
      </c>
      <c r="L86" s="523">
        <f t="shared" si="17"/>
        <v>0</v>
      </c>
      <c r="M86" s="523">
        <f t="shared" si="15"/>
        <v>0</v>
      </c>
      <c r="N86" s="523">
        <f t="shared" si="15"/>
        <v>0</v>
      </c>
      <c r="O86" s="523">
        <f t="shared" si="15"/>
        <v>0</v>
      </c>
      <c r="P86" s="523">
        <f t="shared" si="15"/>
        <v>0</v>
      </c>
      <c r="Q86" s="523">
        <f t="shared" si="15"/>
        <v>0</v>
      </c>
      <c r="R86" s="523">
        <f t="shared" si="15"/>
        <v>0</v>
      </c>
      <c r="S86" s="523">
        <f t="shared" si="15"/>
        <v>0</v>
      </c>
      <c r="T86" s="523">
        <f t="shared" si="15"/>
        <v>0</v>
      </c>
      <c r="U86" s="523">
        <f t="shared" si="15"/>
        <v>0</v>
      </c>
      <c r="V86" s="523">
        <f t="shared" si="15"/>
        <v>0</v>
      </c>
      <c r="W86" s="523">
        <f t="shared" si="15"/>
        <v>0</v>
      </c>
      <c r="X86" s="523">
        <f t="shared" si="15"/>
        <v>0</v>
      </c>
      <c r="Y86" s="523">
        <f t="shared" si="15"/>
        <v>0</v>
      </c>
      <c r="Z86" s="523">
        <f t="shared" si="15"/>
        <v>0</v>
      </c>
      <c r="AA86" s="523">
        <f t="shared" si="15"/>
        <v>0</v>
      </c>
      <c r="AB86" s="523">
        <f t="shared" si="15"/>
        <v>0</v>
      </c>
      <c r="AC86" s="523">
        <f t="shared" si="15"/>
        <v>0</v>
      </c>
      <c r="AD86" s="523">
        <f t="shared" si="15"/>
        <v>0</v>
      </c>
      <c r="AE86" s="523">
        <f t="shared" si="15"/>
        <v>0</v>
      </c>
      <c r="AF86" s="523">
        <f t="shared" si="15"/>
        <v>0</v>
      </c>
      <c r="AG86" s="523">
        <f t="shared" si="15"/>
        <v>0</v>
      </c>
      <c r="AH86" s="523">
        <f t="shared" si="15"/>
        <v>0</v>
      </c>
      <c r="AI86" s="523">
        <f t="shared" si="15"/>
        <v>0</v>
      </c>
      <c r="AJ86" s="523">
        <f t="shared" si="15"/>
        <v>0</v>
      </c>
      <c r="AK86" s="523">
        <f t="shared" si="15"/>
        <v>0</v>
      </c>
      <c r="AL86" s="523">
        <f t="shared" si="15"/>
        <v>0</v>
      </c>
      <c r="AM86" s="523">
        <f t="shared" si="15"/>
        <v>0</v>
      </c>
      <c r="AN86" s="523">
        <f t="shared" si="15"/>
        <v>0</v>
      </c>
      <c r="AO86" s="523">
        <f t="shared" si="16"/>
        <v>0</v>
      </c>
      <c r="AP86" s="523">
        <f t="shared" si="16"/>
        <v>0</v>
      </c>
      <c r="AQ86" s="523">
        <f t="shared" si="16"/>
        <v>0</v>
      </c>
      <c r="AR86" s="523">
        <f t="shared" si="16"/>
        <v>0</v>
      </c>
      <c r="AS86" s="523">
        <f t="shared" si="16"/>
        <v>0</v>
      </c>
      <c r="AT86" s="523">
        <f t="shared" si="16"/>
        <v>0</v>
      </c>
      <c r="AU86" s="523">
        <f t="shared" si="16"/>
        <v>0</v>
      </c>
      <c r="AV86" s="523">
        <f t="shared" si="16"/>
        <v>0</v>
      </c>
      <c r="AW86" s="523">
        <f t="shared" si="16"/>
        <v>0</v>
      </c>
      <c r="AX86" s="523">
        <f t="shared" si="16"/>
        <v>0</v>
      </c>
      <c r="AY86" s="523">
        <f t="shared" si="16"/>
        <v>0</v>
      </c>
      <c r="AZ86" s="523">
        <f t="shared" si="16"/>
        <v>0</v>
      </c>
      <c r="BA86" s="523">
        <f t="shared" si="16"/>
        <v>0</v>
      </c>
      <c r="BB86" s="523">
        <f t="shared" si="16"/>
        <v>0</v>
      </c>
      <c r="BC86" s="523">
        <f t="shared" si="16"/>
        <v>0</v>
      </c>
      <c r="BD86" s="523">
        <f t="shared" si="16"/>
        <v>0</v>
      </c>
      <c r="BE86" s="523">
        <f t="shared" si="16"/>
        <v>0</v>
      </c>
      <c r="BF86" s="523">
        <f t="shared" si="16"/>
        <v>0</v>
      </c>
      <c r="BG86" s="523">
        <f t="shared" si="16"/>
        <v>0</v>
      </c>
      <c r="BH86" s="525">
        <f t="shared" si="16"/>
        <v>0</v>
      </c>
    </row>
    <row r="87" spans="2:60" x14ac:dyDescent="0.25">
      <c r="B87" s="570" t="s">
        <v>1520</v>
      </c>
      <c r="C87" s="574" t="e">
        <f t="shared" si="14"/>
        <v>#DIV/0!</v>
      </c>
      <c r="D87" s="580"/>
      <c r="E87" s="580"/>
      <c r="J87" s="524"/>
      <c r="K87" s="523">
        <f t="shared" si="17"/>
        <v>0</v>
      </c>
      <c r="L87" s="523">
        <f t="shared" si="17"/>
        <v>0</v>
      </c>
      <c r="M87" s="523">
        <f t="shared" si="15"/>
        <v>0</v>
      </c>
      <c r="N87" s="523">
        <f t="shared" si="15"/>
        <v>0</v>
      </c>
      <c r="O87" s="523">
        <f t="shared" si="15"/>
        <v>0</v>
      </c>
      <c r="P87" s="523">
        <f t="shared" si="15"/>
        <v>0</v>
      </c>
      <c r="Q87" s="523">
        <f t="shared" si="15"/>
        <v>0</v>
      </c>
      <c r="R87" s="523">
        <f t="shared" si="15"/>
        <v>0</v>
      </c>
      <c r="S87" s="523">
        <f t="shared" si="15"/>
        <v>0</v>
      </c>
      <c r="T87" s="523">
        <f t="shared" si="15"/>
        <v>0</v>
      </c>
      <c r="U87" s="523">
        <f t="shared" si="15"/>
        <v>0</v>
      </c>
      <c r="V87" s="523">
        <f t="shared" si="15"/>
        <v>0</v>
      </c>
      <c r="W87" s="523">
        <f t="shared" si="15"/>
        <v>0</v>
      </c>
      <c r="X87" s="523">
        <f t="shared" si="15"/>
        <v>0</v>
      </c>
      <c r="Y87" s="523">
        <f t="shared" si="15"/>
        <v>0</v>
      </c>
      <c r="Z87" s="523">
        <f t="shared" si="15"/>
        <v>0</v>
      </c>
      <c r="AA87" s="523">
        <f t="shared" si="15"/>
        <v>0</v>
      </c>
      <c r="AB87" s="523">
        <f t="shared" si="15"/>
        <v>0</v>
      </c>
      <c r="AC87" s="523">
        <f t="shared" si="15"/>
        <v>0</v>
      </c>
      <c r="AD87" s="523">
        <f t="shared" si="15"/>
        <v>0</v>
      </c>
      <c r="AE87" s="523">
        <f t="shared" si="15"/>
        <v>0</v>
      </c>
      <c r="AF87" s="523">
        <f t="shared" si="15"/>
        <v>0</v>
      </c>
      <c r="AG87" s="523">
        <f t="shared" si="15"/>
        <v>0</v>
      </c>
      <c r="AH87" s="523">
        <f t="shared" si="15"/>
        <v>0</v>
      </c>
      <c r="AI87" s="523">
        <f t="shared" si="15"/>
        <v>0</v>
      </c>
      <c r="AJ87" s="523">
        <f t="shared" si="15"/>
        <v>0</v>
      </c>
      <c r="AK87" s="523">
        <f t="shared" si="15"/>
        <v>0</v>
      </c>
      <c r="AL87" s="523">
        <f t="shared" si="15"/>
        <v>0</v>
      </c>
      <c r="AM87" s="523">
        <f t="shared" si="15"/>
        <v>0</v>
      </c>
      <c r="AN87" s="523">
        <f t="shared" si="15"/>
        <v>0</v>
      </c>
      <c r="AO87" s="523">
        <f t="shared" si="16"/>
        <v>0</v>
      </c>
      <c r="AP87" s="523">
        <f t="shared" si="16"/>
        <v>0</v>
      </c>
      <c r="AQ87" s="523">
        <f t="shared" si="16"/>
        <v>0</v>
      </c>
      <c r="AR87" s="523">
        <f t="shared" si="16"/>
        <v>0</v>
      </c>
      <c r="AS87" s="523">
        <f t="shared" si="16"/>
        <v>0</v>
      </c>
      <c r="AT87" s="523">
        <f t="shared" si="16"/>
        <v>0</v>
      </c>
      <c r="AU87" s="523">
        <f t="shared" si="16"/>
        <v>0</v>
      </c>
      <c r="AV87" s="523">
        <f t="shared" si="16"/>
        <v>0</v>
      </c>
      <c r="AW87" s="523">
        <f t="shared" si="16"/>
        <v>0</v>
      </c>
      <c r="AX87" s="523">
        <f t="shared" si="16"/>
        <v>0</v>
      </c>
      <c r="AY87" s="523">
        <f t="shared" si="16"/>
        <v>0</v>
      </c>
      <c r="AZ87" s="523">
        <f t="shared" si="16"/>
        <v>0</v>
      </c>
      <c r="BA87" s="523">
        <f t="shared" si="16"/>
        <v>0</v>
      </c>
      <c r="BB87" s="523">
        <f t="shared" si="16"/>
        <v>0</v>
      </c>
      <c r="BC87" s="523">
        <f t="shared" si="16"/>
        <v>0</v>
      </c>
      <c r="BD87" s="523">
        <f t="shared" si="16"/>
        <v>0</v>
      </c>
      <c r="BE87" s="523">
        <f t="shared" si="16"/>
        <v>0</v>
      </c>
      <c r="BF87" s="523">
        <f t="shared" si="16"/>
        <v>0</v>
      </c>
      <c r="BG87" s="523">
        <f t="shared" si="16"/>
        <v>0</v>
      </c>
      <c r="BH87" s="525">
        <f t="shared" si="16"/>
        <v>0</v>
      </c>
    </row>
    <row r="88" spans="2:60" x14ac:dyDescent="0.25">
      <c r="B88" s="570" t="s">
        <v>1520</v>
      </c>
      <c r="C88" s="574" t="e">
        <f t="shared" si="14"/>
        <v>#DIV/0!</v>
      </c>
      <c r="D88" s="580"/>
      <c r="E88" s="580"/>
      <c r="J88" s="524"/>
      <c r="K88" s="523">
        <f t="shared" si="17"/>
        <v>0</v>
      </c>
      <c r="L88" s="523">
        <f t="shared" si="17"/>
        <v>0</v>
      </c>
      <c r="M88" s="523">
        <f t="shared" si="15"/>
        <v>0</v>
      </c>
      <c r="N88" s="523">
        <f t="shared" si="15"/>
        <v>0</v>
      </c>
      <c r="O88" s="523">
        <f t="shared" si="15"/>
        <v>0</v>
      </c>
      <c r="P88" s="523">
        <f t="shared" si="15"/>
        <v>0</v>
      </c>
      <c r="Q88" s="523">
        <f t="shared" si="15"/>
        <v>0</v>
      </c>
      <c r="R88" s="523">
        <f t="shared" si="15"/>
        <v>0</v>
      </c>
      <c r="S88" s="523">
        <f t="shared" si="15"/>
        <v>0</v>
      </c>
      <c r="T88" s="523">
        <f t="shared" si="15"/>
        <v>0</v>
      </c>
      <c r="U88" s="523">
        <f t="shared" si="15"/>
        <v>0</v>
      </c>
      <c r="V88" s="523">
        <f t="shared" si="15"/>
        <v>0</v>
      </c>
      <c r="W88" s="523">
        <f t="shared" si="15"/>
        <v>0</v>
      </c>
      <c r="X88" s="523">
        <f t="shared" si="15"/>
        <v>0</v>
      </c>
      <c r="Y88" s="523">
        <f t="shared" si="15"/>
        <v>0</v>
      </c>
      <c r="Z88" s="523">
        <f t="shared" si="15"/>
        <v>0</v>
      </c>
      <c r="AA88" s="523">
        <f t="shared" si="15"/>
        <v>0</v>
      </c>
      <c r="AB88" s="523">
        <f t="shared" si="15"/>
        <v>0</v>
      </c>
      <c r="AC88" s="523">
        <f t="shared" si="15"/>
        <v>0</v>
      </c>
      <c r="AD88" s="523">
        <f t="shared" si="15"/>
        <v>0</v>
      </c>
      <c r="AE88" s="523">
        <f t="shared" si="15"/>
        <v>0</v>
      </c>
      <c r="AF88" s="523">
        <f t="shared" si="15"/>
        <v>0</v>
      </c>
      <c r="AG88" s="523">
        <f t="shared" si="15"/>
        <v>0</v>
      </c>
      <c r="AH88" s="523">
        <f t="shared" si="15"/>
        <v>0</v>
      </c>
      <c r="AI88" s="523">
        <f t="shared" si="15"/>
        <v>0</v>
      </c>
      <c r="AJ88" s="523">
        <f t="shared" si="15"/>
        <v>0</v>
      </c>
      <c r="AK88" s="523">
        <f t="shared" si="15"/>
        <v>0</v>
      </c>
      <c r="AL88" s="523">
        <f t="shared" si="15"/>
        <v>0</v>
      </c>
      <c r="AM88" s="523">
        <f t="shared" si="15"/>
        <v>0</v>
      </c>
      <c r="AN88" s="523">
        <f t="shared" si="15"/>
        <v>0</v>
      </c>
      <c r="AO88" s="523">
        <f t="shared" si="16"/>
        <v>0</v>
      </c>
      <c r="AP88" s="523">
        <f t="shared" si="16"/>
        <v>0</v>
      </c>
      <c r="AQ88" s="523">
        <f t="shared" si="16"/>
        <v>0</v>
      </c>
      <c r="AR88" s="523">
        <f t="shared" si="16"/>
        <v>0</v>
      </c>
      <c r="AS88" s="523">
        <f t="shared" si="16"/>
        <v>0</v>
      </c>
      <c r="AT88" s="523">
        <f t="shared" si="16"/>
        <v>0</v>
      </c>
      <c r="AU88" s="523">
        <f t="shared" si="16"/>
        <v>0</v>
      </c>
      <c r="AV88" s="523">
        <f t="shared" si="16"/>
        <v>0</v>
      </c>
      <c r="AW88" s="523">
        <f t="shared" si="16"/>
        <v>0</v>
      </c>
      <c r="AX88" s="523">
        <f t="shared" si="16"/>
        <v>0</v>
      </c>
      <c r="AY88" s="523">
        <f t="shared" si="16"/>
        <v>0</v>
      </c>
      <c r="AZ88" s="523">
        <f t="shared" si="16"/>
        <v>0</v>
      </c>
      <c r="BA88" s="523">
        <f t="shared" si="16"/>
        <v>0</v>
      </c>
      <c r="BB88" s="523">
        <f t="shared" si="16"/>
        <v>0</v>
      </c>
      <c r="BC88" s="523">
        <f t="shared" si="16"/>
        <v>0</v>
      </c>
      <c r="BD88" s="523">
        <f t="shared" si="16"/>
        <v>0</v>
      </c>
      <c r="BE88" s="523">
        <f t="shared" si="16"/>
        <v>0</v>
      </c>
      <c r="BF88" s="523">
        <f t="shared" si="16"/>
        <v>0</v>
      </c>
      <c r="BG88" s="523">
        <f t="shared" si="16"/>
        <v>0</v>
      </c>
      <c r="BH88" s="525">
        <f t="shared" si="16"/>
        <v>0</v>
      </c>
    </row>
    <row r="89" spans="2:60" x14ac:dyDescent="0.25">
      <c r="B89" s="570" t="s">
        <v>1520</v>
      </c>
      <c r="C89" s="574" t="e">
        <f t="shared" si="14"/>
        <v>#DIV/0!</v>
      </c>
      <c r="D89" s="580"/>
      <c r="E89" s="580"/>
      <c r="J89" s="524"/>
      <c r="K89" s="523">
        <f t="shared" si="17"/>
        <v>0</v>
      </c>
      <c r="L89" s="523">
        <f t="shared" si="17"/>
        <v>0</v>
      </c>
      <c r="M89" s="523">
        <f t="shared" si="15"/>
        <v>0</v>
      </c>
      <c r="N89" s="523">
        <f t="shared" si="15"/>
        <v>0</v>
      </c>
      <c r="O89" s="523">
        <f t="shared" si="15"/>
        <v>0</v>
      </c>
      <c r="P89" s="523">
        <f t="shared" si="15"/>
        <v>0</v>
      </c>
      <c r="Q89" s="523">
        <f t="shared" si="15"/>
        <v>0</v>
      </c>
      <c r="R89" s="523">
        <f t="shared" si="15"/>
        <v>0</v>
      </c>
      <c r="S89" s="523">
        <f t="shared" si="15"/>
        <v>0</v>
      </c>
      <c r="T89" s="523">
        <f t="shared" si="15"/>
        <v>0</v>
      </c>
      <c r="U89" s="523">
        <f t="shared" si="15"/>
        <v>0</v>
      </c>
      <c r="V89" s="523">
        <f t="shared" si="15"/>
        <v>0</v>
      </c>
      <c r="W89" s="523">
        <f t="shared" si="15"/>
        <v>0</v>
      </c>
      <c r="X89" s="523">
        <f t="shared" si="15"/>
        <v>0</v>
      </c>
      <c r="Y89" s="523">
        <f t="shared" si="15"/>
        <v>0</v>
      </c>
      <c r="Z89" s="523">
        <f t="shared" si="15"/>
        <v>0</v>
      </c>
      <c r="AA89" s="523">
        <f t="shared" si="15"/>
        <v>0</v>
      </c>
      <c r="AB89" s="523">
        <f t="shared" si="15"/>
        <v>0</v>
      </c>
      <c r="AC89" s="523">
        <f t="shared" si="15"/>
        <v>0</v>
      </c>
      <c r="AD89" s="523">
        <f t="shared" si="15"/>
        <v>0</v>
      </c>
      <c r="AE89" s="523">
        <f t="shared" si="15"/>
        <v>0</v>
      </c>
      <c r="AF89" s="523">
        <f t="shared" si="15"/>
        <v>0</v>
      </c>
      <c r="AG89" s="523">
        <f t="shared" si="15"/>
        <v>0</v>
      </c>
      <c r="AH89" s="523">
        <f t="shared" si="15"/>
        <v>0</v>
      </c>
      <c r="AI89" s="523">
        <f t="shared" si="15"/>
        <v>0</v>
      </c>
      <c r="AJ89" s="523">
        <f t="shared" si="15"/>
        <v>0</v>
      </c>
      <c r="AK89" s="523">
        <f t="shared" si="15"/>
        <v>0</v>
      </c>
      <c r="AL89" s="523">
        <f t="shared" si="15"/>
        <v>0</v>
      </c>
      <c r="AM89" s="523">
        <f t="shared" si="15"/>
        <v>0</v>
      </c>
      <c r="AN89" s="523">
        <f t="shared" si="15"/>
        <v>0</v>
      </c>
      <c r="AO89" s="523">
        <f t="shared" si="16"/>
        <v>0</v>
      </c>
      <c r="AP89" s="523">
        <f t="shared" si="16"/>
        <v>0</v>
      </c>
      <c r="AQ89" s="523">
        <f t="shared" si="16"/>
        <v>0</v>
      </c>
      <c r="AR89" s="523">
        <f t="shared" si="16"/>
        <v>0</v>
      </c>
      <c r="AS89" s="523">
        <f t="shared" si="16"/>
        <v>0</v>
      </c>
      <c r="AT89" s="523">
        <f t="shared" si="16"/>
        <v>0</v>
      </c>
      <c r="AU89" s="523">
        <f t="shared" si="16"/>
        <v>0</v>
      </c>
      <c r="AV89" s="523">
        <f t="shared" si="16"/>
        <v>0</v>
      </c>
      <c r="AW89" s="523">
        <f t="shared" si="16"/>
        <v>0</v>
      </c>
      <c r="AX89" s="523">
        <f t="shared" si="16"/>
        <v>0</v>
      </c>
      <c r="AY89" s="523">
        <f t="shared" si="16"/>
        <v>0</v>
      </c>
      <c r="AZ89" s="523">
        <f t="shared" si="16"/>
        <v>0</v>
      </c>
      <c r="BA89" s="523">
        <f t="shared" si="16"/>
        <v>0</v>
      </c>
      <c r="BB89" s="523">
        <f t="shared" si="16"/>
        <v>0</v>
      </c>
      <c r="BC89" s="523">
        <f t="shared" si="16"/>
        <v>0</v>
      </c>
      <c r="BD89" s="523">
        <f t="shared" si="16"/>
        <v>0</v>
      </c>
      <c r="BE89" s="523">
        <f t="shared" si="16"/>
        <v>0</v>
      </c>
      <c r="BF89" s="523">
        <f t="shared" si="16"/>
        <v>0</v>
      </c>
      <c r="BG89" s="523">
        <f t="shared" si="16"/>
        <v>0</v>
      </c>
      <c r="BH89" s="525">
        <f t="shared" si="16"/>
        <v>0</v>
      </c>
    </row>
    <row r="90" spans="2:60" x14ac:dyDescent="0.25">
      <c r="B90" s="570" t="s">
        <v>1520</v>
      </c>
      <c r="C90" s="574" t="e">
        <f t="shared" si="14"/>
        <v>#DIV/0!</v>
      </c>
      <c r="D90" s="580"/>
      <c r="E90" s="580"/>
      <c r="J90" s="524"/>
      <c r="K90" s="523">
        <f t="shared" si="17"/>
        <v>0</v>
      </c>
      <c r="L90" s="523">
        <f t="shared" si="17"/>
        <v>0</v>
      </c>
      <c r="M90" s="523">
        <f t="shared" si="15"/>
        <v>0</v>
      </c>
      <c r="N90" s="523">
        <f t="shared" si="15"/>
        <v>0</v>
      </c>
      <c r="O90" s="523">
        <f t="shared" si="15"/>
        <v>0</v>
      </c>
      <c r="P90" s="523">
        <f t="shared" si="15"/>
        <v>0</v>
      </c>
      <c r="Q90" s="523">
        <f t="shared" si="15"/>
        <v>0</v>
      </c>
      <c r="R90" s="523">
        <f t="shared" si="15"/>
        <v>0</v>
      </c>
      <c r="S90" s="523">
        <f t="shared" si="15"/>
        <v>0</v>
      </c>
      <c r="T90" s="523">
        <f t="shared" si="15"/>
        <v>0</v>
      </c>
      <c r="U90" s="523">
        <f t="shared" si="15"/>
        <v>0</v>
      </c>
      <c r="V90" s="523">
        <f t="shared" si="15"/>
        <v>0</v>
      </c>
      <c r="W90" s="523">
        <f t="shared" si="15"/>
        <v>0</v>
      </c>
      <c r="X90" s="523">
        <f t="shared" si="15"/>
        <v>0</v>
      </c>
      <c r="Y90" s="523">
        <f t="shared" si="15"/>
        <v>0</v>
      </c>
      <c r="Z90" s="523">
        <f t="shared" si="15"/>
        <v>0</v>
      </c>
      <c r="AA90" s="523">
        <f t="shared" si="15"/>
        <v>0</v>
      </c>
      <c r="AB90" s="523">
        <f t="shared" si="15"/>
        <v>0</v>
      </c>
      <c r="AC90" s="523">
        <f t="shared" si="15"/>
        <v>0</v>
      </c>
      <c r="AD90" s="523">
        <f t="shared" si="15"/>
        <v>0</v>
      </c>
      <c r="AE90" s="523">
        <f t="shared" si="15"/>
        <v>0</v>
      </c>
      <c r="AF90" s="523">
        <f t="shared" si="15"/>
        <v>0</v>
      </c>
      <c r="AG90" s="523">
        <f t="shared" si="15"/>
        <v>0</v>
      </c>
      <c r="AH90" s="523">
        <f t="shared" si="15"/>
        <v>0</v>
      </c>
      <c r="AI90" s="523">
        <f t="shared" si="15"/>
        <v>0</v>
      </c>
      <c r="AJ90" s="523">
        <f t="shared" si="15"/>
        <v>0</v>
      </c>
      <c r="AK90" s="523">
        <f t="shared" si="15"/>
        <v>0</v>
      </c>
      <c r="AL90" s="523">
        <f t="shared" si="15"/>
        <v>0</v>
      </c>
      <c r="AM90" s="523">
        <f t="shared" si="15"/>
        <v>0</v>
      </c>
      <c r="AN90" s="523">
        <f t="shared" si="15"/>
        <v>0</v>
      </c>
      <c r="AO90" s="523">
        <f t="shared" si="16"/>
        <v>0</v>
      </c>
      <c r="AP90" s="523">
        <f t="shared" si="16"/>
        <v>0</v>
      </c>
      <c r="AQ90" s="523">
        <f t="shared" si="16"/>
        <v>0</v>
      </c>
      <c r="AR90" s="523">
        <f t="shared" si="16"/>
        <v>0</v>
      </c>
      <c r="AS90" s="523">
        <f t="shared" si="16"/>
        <v>0</v>
      </c>
      <c r="AT90" s="523">
        <f t="shared" si="16"/>
        <v>0</v>
      </c>
      <c r="AU90" s="523">
        <f t="shared" si="16"/>
        <v>0</v>
      </c>
      <c r="AV90" s="523">
        <f t="shared" si="16"/>
        <v>0</v>
      </c>
      <c r="AW90" s="523">
        <f t="shared" si="16"/>
        <v>0</v>
      </c>
      <c r="AX90" s="523">
        <f t="shared" si="16"/>
        <v>0</v>
      </c>
      <c r="AY90" s="523">
        <f t="shared" si="16"/>
        <v>0</v>
      </c>
      <c r="AZ90" s="523">
        <f t="shared" si="16"/>
        <v>0</v>
      </c>
      <c r="BA90" s="523">
        <f t="shared" si="16"/>
        <v>0</v>
      </c>
      <c r="BB90" s="523">
        <f t="shared" si="16"/>
        <v>0</v>
      </c>
      <c r="BC90" s="523">
        <f t="shared" si="16"/>
        <v>0</v>
      </c>
      <c r="BD90" s="523">
        <f t="shared" si="16"/>
        <v>0</v>
      </c>
      <c r="BE90" s="523">
        <f t="shared" si="16"/>
        <v>0</v>
      </c>
      <c r="BF90" s="523">
        <f t="shared" si="16"/>
        <v>0</v>
      </c>
      <c r="BG90" s="523">
        <f t="shared" si="16"/>
        <v>0</v>
      </c>
      <c r="BH90" s="525">
        <f t="shared" si="16"/>
        <v>0</v>
      </c>
    </row>
    <row r="91" spans="2:60" x14ac:dyDescent="0.25">
      <c r="B91" s="570" t="s">
        <v>1520</v>
      </c>
      <c r="C91" s="574" t="e">
        <f t="shared" si="14"/>
        <v>#DIV/0!</v>
      </c>
      <c r="D91" s="580"/>
      <c r="E91" s="580"/>
      <c r="J91" s="524"/>
      <c r="K91" s="523">
        <f t="shared" si="17"/>
        <v>0</v>
      </c>
      <c r="L91" s="523">
        <f t="shared" si="17"/>
        <v>0</v>
      </c>
      <c r="M91" s="523">
        <f t="shared" si="15"/>
        <v>0</v>
      </c>
      <c r="N91" s="523">
        <f t="shared" si="15"/>
        <v>0</v>
      </c>
      <c r="O91" s="523">
        <f t="shared" si="15"/>
        <v>0</v>
      </c>
      <c r="P91" s="523">
        <f t="shared" ref="P91:AE111" si="18">IF($E91=P$81,$D91,0)</f>
        <v>0</v>
      </c>
      <c r="Q91" s="523">
        <f t="shared" si="18"/>
        <v>0</v>
      </c>
      <c r="R91" s="523">
        <f t="shared" si="18"/>
        <v>0</v>
      </c>
      <c r="S91" s="523">
        <f t="shared" si="18"/>
        <v>0</v>
      </c>
      <c r="T91" s="523">
        <f t="shared" si="18"/>
        <v>0</v>
      </c>
      <c r="U91" s="523">
        <f t="shared" si="18"/>
        <v>0</v>
      </c>
      <c r="V91" s="523">
        <f t="shared" si="18"/>
        <v>0</v>
      </c>
      <c r="W91" s="523">
        <f t="shared" si="18"/>
        <v>0</v>
      </c>
      <c r="X91" s="523">
        <f t="shared" si="18"/>
        <v>0</v>
      </c>
      <c r="Y91" s="523">
        <f t="shared" si="18"/>
        <v>0</v>
      </c>
      <c r="Z91" s="523">
        <f t="shared" si="18"/>
        <v>0</v>
      </c>
      <c r="AA91" s="523">
        <f t="shared" si="18"/>
        <v>0</v>
      </c>
      <c r="AB91" s="523">
        <f t="shared" si="18"/>
        <v>0</v>
      </c>
      <c r="AC91" s="523">
        <f t="shared" si="18"/>
        <v>0</v>
      </c>
      <c r="AD91" s="523">
        <f t="shared" si="18"/>
        <v>0</v>
      </c>
      <c r="AE91" s="523">
        <f t="shared" si="18"/>
        <v>0</v>
      </c>
      <c r="AF91" s="523">
        <f t="shared" ref="AF91:AU108" si="19">IF($E91=AF$81,$D91,0)</f>
        <v>0</v>
      </c>
      <c r="AG91" s="523">
        <f t="shared" si="19"/>
        <v>0</v>
      </c>
      <c r="AH91" s="523">
        <f t="shared" si="19"/>
        <v>0</v>
      </c>
      <c r="AI91" s="523">
        <f t="shared" si="19"/>
        <v>0</v>
      </c>
      <c r="AJ91" s="523">
        <f t="shared" si="19"/>
        <v>0</v>
      </c>
      <c r="AK91" s="523">
        <f t="shared" si="19"/>
        <v>0</v>
      </c>
      <c r="AL91" s="523">
        <f t="shared" si="19"/>
        <v>0</v>
      </c>
      <c r="AM91" s="523">
        <f t="shared" si="19"/>
        <v>0</v>
      </c>
      <c r="AN91" s="523">
        <f t="shared" si="19"/>
        <v>0</v>
      </c>
      <c r="AO91" s="523">
        <f t="shared" si="19"/>
        <v>0</v>
      </c>
      <c r="AP91" s="523">
        <f t="shared" si="19"/>
        <v>0</v>
      </c>
      <c r="AQ91" s="523">
        <f t="shared" si="19"/>
        <v>0</v>
      </c>
      <c r="AR91" s="523">
        <f t="shared" si="19"/>
        <v>0</v>
      </c>
      <c r="AS91" s="523">
        <f t="shared" si="19"/>
        <v>0</v>
      </c>
      <c r="AT91" s="523">
        <f t="shared" si="19"/>
        <v>0</v>
      </c>
      <c r="AU91" s="523">
        <f t="shared" si="19"/>
        <v>0</v>
      </c>
      <c r="AV91" s="523">
        <f t="shared" si="16"/>
        <v>0</v>
      </c>
      <c r="AW91" s="523">
        <f t="shared" si="16"/>
        <v>0</v>
      </c>
      <c r="AX91" s="523">
        <f t="shared" si="16"/>
        <v>0</v>
      </c>
      <c r="AY91" s="523">
        <f t="shared" si="16"/>
        <v>0</v>
      </c>
      <c r="AZ91" s="523">
        <f t="shared" si="16"/>
        <v>0</v>
      </c>
      <c r="BA91" s="523">
        <f t="shared" si="16"/>
        <v>0</v>
      </c>
      <c r="BB91" s="523">
        <f t="shared" si="16"/>
        <v>0</v>
      </c>
      <c r="BC91" s="523">
        <f t="shared" si="16"/>
        <v>0</v>
      </c>
      <c r="BD91" s="523">
        <f t="shared" si="16"/>
        <v>0</v>
      </c>
      <c r="BE91" s="523">
        <f t="shared" si="16"/>
        <v>0</v>
      </c>
      <c r="BF91" s="523">
        <f t="shared" si="16"/>
        <v>0</v>
      </c>
      <c r="BG91" s="523">
        <f t="shared" si="16"/>
        <v>0</v>
      </c>
      <c r="BH91" s="525">
        <f t="shared" si="16"/>
        <v>0</v>
      </c>
    </row>
    <row r="92" spans="2:60" x14ac:dyDescent="0.25">
      <c r="B92" s="570" t="s">
        <v>1521</v>
      </c>
      <c r="C92" s="574" t="e">
        <f t="shared" si="14"/>
        <v>#DIV/0!</v>
      </c>
      <c r="D92" s="580"/>
      <c r="E92" s="580"/>
      <c r="J92" s="524"/>
      <c r="K92" s="523">
        <f t="shared" si="17"/>
        <v>0</v>
      </c>
      <c r="L92" s="523">
        <f t="shared" si="17"/>
        <v>0</v>
      </c>
      <c r="M92" s="523">
        <f t="shared" si="17"/>
        <v>0</v>
      </c>
      <c r="N92" s="523">
        <f t="shared" si="17"/>
        <v>0</v>
      </c>
      <c r="O92" s="523">
        <f t="shared" si="17"/>
        <v>0</v>
      </c>
      <c r="P92" s="523">
        <f t="shared" si="17"/>
        <v>0</v>
      </c>
      <c r="Q92" s="523">
        <f t="shared" si="17"/>
        <v>0</v>
      </c>
      <c r="R92" s="523">
        <f t="shared" si="17"/>
        <v>0</v>
      </c>
      <c r="S92" s="523">
        <f t="shared" si="17"/>
        <v>0</v>
      </c>
      <c r="T92" s="523">
        <f t="shared" si="17"/>
        <v>0</v>
      </c>
      <c r="U92" s="523">
        <f t="shared" si="17"/>
        <v>0</v>
      </c>
      <c r="V92" s="523">
        <f t="shared" si="17"/>
        <v>0</v>
      </c>
      <c r="W92" s="523">
        <f t="shared" si="17"/>
        <v>0</v>
      </c>
      <c r="X92" s="523">
        <f t="shared" si="17"/>
        <v>0</v>
      </c>
      <c r="Y92" s="523">
        <f t="shared" si="17"/>
        <v>0</v>
      </c>
      <c r="Z92" s="523">
        <f t="shared" si="17"/>
        <v>0</v>
      </c>
      <c r="AA92" s="523">
        <f t="shared" si="18"/>
        <v>0</v>
      </c>
      <c r="AB92" s="523">
        <f t="shared" si="18"/>
        <v>0</v>
      </c>
      <c r="AC92" s="523">
        <f t="shared" si="18"/>
        <v>0</v>
      </c>
      <c r="AD92" s="523">
        <f t="shared" si="18"/>
        <v>0</v>
      </c>
      <c r="AE92" s="523">
        <f t="shared" si="18"/>
        <v>0</v>
      </c>
      <c r="AF92" s="523">
        <f t="shared" si="19"/>
        <v>0</v>
      </c>
      <c r="AG92" s="523">
        <f t="shared" si="19"/>
        <v>0</v>
      </c>
      <c r="AH92" s="523">
        <f t="shared" si="19"/>
        <v>0</v>
      </c>
      <c r="AI92" s="523">
        <f t="shared" si="19"/>
        <v>0</v>
      </c>
      <c r="AJ92" s="523">
        <f t="shared" si="19"/>
        <v>0</v>
      </c>
      <c r="AK92" s="523">
        <f t="shared" si="19"/>
        <v>0</v>
      </c>
      <c r="AL92" s="523">
        <f t="shared" si="19"/>
        <v>0</v>
      </c>
      <c r="AM92" s="523">
        <f t="shared" si="19"/>
        <v>0</v>
      </c>
      <c r="AN92" s="523">
        <f t="shared" si="19"/>
        <v>0</v>
      </c>
      <c r="AO92" s="523">
        <f t="shared" si="16"/>
        <v>0</v>
      </c>
      <c r="AP92" s="523">
        <f t="shared" si="16"/>
        <v>0</v>
      </c>
      <c r="AQ92" s="523">
        <f t="shared" si="16"/>
        <v>0</v>
      </c>
      <c r="AR92" s="523">
        <f t="shared" si="16"/>
        <v>0</v>
      </c>
      <c r="AS92" s="523">
        <f t="shared" si="16"/>
        <v>0</v>
      </c>
      <c r="AT92" s="523">
        <f t="shared" si="16"/>
        <v>0</v>
      </c>
      <c r="AU92" s="523">
        <f t="shared" si="16"/>
        <v>0</v>
      </c>
      <c r="AV92" s="523">
        <f t="shared" si="16"/>
        <v>0</v>
      </c>
      <c r="AW92" s="523">
        <f t="shared" si="16"/>
        <v>0</v>
      </c>
      <c r="AX92" s="523">
        <f t="shared" si="16"/>
        <v>0</v>
      </c>
      <c r="AY92" s="523">
        <f t="shared" si="16"/>
        <v>0</v>
      </c>
      <c r="AZ92" s="523">
        <f t="shared" si="16"/>
        <v>0</v>
      </c>
      <c r="BA92" s="523">
        <f t="shared" si="16"/>
        <v>0</v>
      </c>
      <c r="BB92" s="523">
        <f t="shared" si="16"/>
        <v>0</v>
      </c>
      <c r="BC92" s="523">
        <f t="shared" si="16"/>
        <v>0</v>
      </c>
      <c r="BD92" s="523">
        <f t="shared" si="16"/>
        <v>0</v>
      </c>
      <c r="BE92" s="523">
        <f t="shared" si="16"/>
        <v>0</v>
      </c>
      <c r="BF92" s="523">
        <f t="shared" si="16"/>
        <v>0</v>
      </c>
      <c r="BG92" s="523">
        <f t="shared" si="16"/>
        <v>0</v>
      </c>
      <c r="BH92" s="525">
        <f t="shared" si="16"/>
        <v>0</v>
      </c>
    </row>
    <row r="93" spans="2:60" x14ac:dyDescent="0.25">
      <c r="B93" s="570" t="s">
        <v>1521</v>
      </c>
      <c r="C93" s="574" t="e">
        <f t="shared" si="14"/>
        <v>#DIV/0!</v>
      </c>
      <c r="D93" s="580"/>
      <c r="E93" s="580"/>
      <c r="J93" s="524"/>
      <c r="K93" s="523">
        <f t="shared" si="17"/>
        <v>0</v>
      </c>
      <c r="L93" s="523">
        <f t="shared" si="17"/>
        <v>0</v>
      </c>
      <c r="M93" s="523">
        <f t="shared" si="17"/>
        <v>0</v>
      </c>
      <c r="N93" s="523">
        <f t="shared" si="17"/>
        <v>0</v>
      </c>
      <c r="O93" s="523">
        <f t="shared" si="17"/>
        <v>0</v>
      </c>
      <c r="P93" s="523">
        <f t="shared" si="17"/>
        <v>0</v>
      </c>
      <c r="Q93" s="523">
        <f t="shared" si="17"/>
        <v>0</v>
      </c>
      <c r="R93" s="523">
        <f t="shared" si="17"/>
        <v>0</v>
      </c>
      <c r="S93" s="523">
        <f t="shared" si="17"/>
        <v>0</v>
      </c>
      <c r="T93" s="523">
        <f t="shared" si="17"/>
        <v>0</v>
      </c>
      <c r="U93" s="523">
        <f t="shared" si="17"/>
        <v>0</v>
      </c>
      <c r="V93" s="523">
        <f t="shared" si="17"/>
        <v>0</v>
      </c>
      <c r="W93" s="523">
        <f t="shared" si="17"/>
        <v>0</v>
      </c>
      <c r="X93" s="523">
        <f t="shared" si="17"/>
        <v>0</v>
      </c>
      <c r="Y93" s="523">
        <f t="shared" si="17"/>
        <v>0</v>
      </c>
      <c r="Z93" s="523">
        <f t="shared" si="17"/>
        <v>0</v>
      </c>
      <c r="AA93" s="523">
        <f t="shared" si="18"/>
        <v>0</v>
      </c>
      <c r="AB93" s="523">
        <f t="shared" si="18"/>
        <v>0</v>
      </c>
      <c r="AC93" s="523">
        <f t="shared" si="18"/>
        <v>0</v>
      </c>
      <c r="AD93" s="523">
        <f t="shared" si="18"/>
        <v>0</v>
      </c>
      <c r="AE93" s="523">
        <f t="shared" si="18"/>
        <v>0</v>
      </c>
      <c r="AF93" s="523">
        <f t="shared" si="19"/>
        <v>0</v>
      </c>
      <c r="AG93" s="523">
        <f t="shared" si="19"/>
        <v>0</v>
      </c>
      <c r="AH93" s="523">
        <f t="shared" si="19"/>
        <v>0</v>
      </c>
      <c r="AI93" s="523">
        <f t="shared" si="19"/>
        <v>0</v>
      </c>
      <c r="AJ93" s="523">
        <f t="shared" si="19"/>
        <v>0</v>
      </c>
      <c r="AK93" s="523">
        <f t="shared" si="19"/>
        <v>0</v>
      </c>
      <c r="AL93" s="523">
        <f t="shared" si="19"/>
        <v>0</v>
      </c>
      <c r="AM93" s="523">
        <f t="shared" si="19"/>
        <v>0</v>
      </c>
      <c r="AN93" s="523">
        <f t="shared" si="19"/>
        <v>0</v>
      </c>
      <c r="AO93" s="523">
        <f t="shared" si="16"/>
        <v>0</v>
      </c>
      <c r="AP93" s="523">
        <f t="shared" si="16"/>
        <v>0</v>
      </c>
      <c r="AQ93" s="523">
        <f t="shared" si="16"/>
        <v>0</v>
      </c>
      <c r="AR93" s="523">
        <f t="shared" si="16"/>
        <v>0</v>
      </c>
      <c r="AS93" s="523">
        <f t="shared" si="16"/>
        <v>0</v>
      </c>
      <c r="AT93" s="523">
        <f t="shared" si="16"/>
        <v>0</v>
      </c>
      <c r="AU93" s="523">
        <f t="shared" si="16"/>
        <v>0</v>
      </c>
      <c r="AV93" s="523">
        <f t="shared" si="16"/>
        <v>0</v>
      </c>
      <c r="AW93" s="523">
        <f t="shared" si="16"/>
        <v>0</v>
      </c>
      <c r="AX93" s="523">
        <f t="shared" si="16"/>
        <v>0</v>
      </c>
      <c r="AY93" s="523">
        <f t="shared" si="16"/>
        <v>0</v>
      </c>
      <c r="AZ93" s="523">
        <f t="shared" si="16"/>
        <v>0</v>
      </c>
      <c r="BA93" s="523">
        <f t="shared" si="16"/>
        <v>0</v>
      </c>
      <c r="BB93" s="523">
        <f t="shared" si="16"/>
        <v>0</v>
      </c>
      <c r="BC93" s="523">
        <f t="shared" si="16"/>
        <v>0</v>
      </c>
      <c r="BD93" s="523">
        <f t="shared" si="16"/>
        <v>0</v>
      </c>
      <c r="BE93" s="523">
        <f t="shared" si="16"/>
        <v>0</v>
      </c>
      <c r="BF93" s="523">
        <f t="shared" si="16"/>
        <v>0</v>
      </c>
      <c r="BG93" s="523">
        <f t="shared" si="16"/>
        <v>0</v>
      </c>
      <c r="BH93" s="525">
        <f t="shared" si="16"/>
        <v>0</v>
      </c>
    </row>
    <row r="94" spans="2:60" x14ac:dyDescent="0.25">
      <c r="B94" s="570" t="s">
        <v>1521</v>
      </c>
      <c r="C94" s="574" t="e">
        <f t="shared" si="14"/>
        <v>#DIV/0!</v>
      </c>
      <c r="D94" s="580"/>
      <c r="E94" s="580"/>
      <c r="J94" s="524"/>
      <c r="K94" s="523">
        <f t="shared" si="17"/>
        <v>0</v>
      </c>
      <c r="L94" s="523">
        <f t="shared" si="17"/>
        <v>0</v>
      </c>
      <c r="M94" s="523">
        <f t="shared" si="17"/>
        <v>0</v>
      </c>
      <c r="N94" s="523">
        <f t="shared" si="17"/>
        <v>0</v>
      </c>
      <c r="O94" s="523">
        <f t="shared" si="17"/>
        <v>0</v>
      </c>
      <c r="P94" s="523">
        <f t="shared" si="17"/>
        <v>0</v>
      </c>
      <c r="Q94" s="523">
        <f t="shared" si="17"/>
        <v>0</v>
      </c>
      <c r="R94" s="523">
        <f t="shared" si="17"/>
        <v>0</v>
      </c>
      <c r="S94" s="523">
        <f t="shared" si="17"/>
        <v>0</v>
      </c>
      <c r="T94" s="523">
        <f t="shared" si="17"/>
        <v>0</v>
      </c>
      <c r="U94" s="523">
        <f t="shared" si="17"/>
        <v>0</v>
      </c>
      <c r="V94" s="523">
        <f t="shared" si="17"/>
        <v>0</v>
      </c>
      <c r="W94" s="523">
        <f t="shared" si="17"/>
        <v>0</v>
      </c>
      <c r="X94" s="523">
        <f t="shared" si="17"/>
        <v>0</v>
      </c>
      <c r="Y94" s="523">
        <f t="shared" si="17"/>
        <v>0</v>
      </c>
      <c r="Z94" s="523">
        <f t="shared" si="17"/>
        <v>0</v>
      </c>
      <c r="AA94" s="523">
        <f t="shared" si="18"/>
        <v>0</v>
      </c>
      <c r="AB94" s="523">
        <f t="shared" si="18"/>
        <v>0</v>
      </c>
      <c r="AC94" s="523">
        <f t="shared" si="18"/>
        <v>0</v>
      </c>
      <c r="AD94" s="523">
        <f t="shared" si="18"/>
        <v>0</v>
      </c>
      <c r="AE94" s="523">
        <f t="shared" si="18"/>
        <v>0</v>
      </c>
      <c r="AF94" s="523">
        <f t="shared" si="19"/>
        <v>0</v>
      </c>
      <c r="AG94" s="523">
        <f t="shared" si="19"/>
        <v>0</v>
      </c>
      <c r="AH94" s="523">
        <f t="shared" si="19"/>
        <v>0</v>
      </c>
      <c r="AI94" s="523">
        <f t="shared" si="19"/>
        <v>0</v>
      </c>
      <c r="AJ94" s="523">
        <f t="shared" si="19"/>
        <v>0</v>
      </c>
      <c r="AK94" s="523">
        <f t="shared" si="19"/>
        <v>0</v>
      </c>
      <c r="AL94" s="523">
        <f t="shared" si="19"/>
        <v>0</v>
      </c>
      <c r="AM94" s="523">
        <f t="shared" si="19"/>
        <v>0</v>
      </c>
      <c r="AN94" s="523">
        <f t="shared" si="19"/>
        <v>0</v>
      </c>
      <c r="AO94" s="523">
        <f t="shared" si="16"/>
        <v>0</v>
      </c>
      <c r="AP94" s="523">
        <f t="shared" si="16"/>
        <v>0</v>
      </c>
      <c r="AQ94" s="523">
        <f t="shared" si="16"/>
        <v>0</v>
      </c>
      <c r="AR94" s="523">
        <f t="shared" si="16"/>
        <v>0</v>
      </c>
      <c r="AS94" s="523">
        <f t="shared" si="16"/>
        <v>0</v>
      </c>
      <c r="AT94" s="523">
        <f t="shared" si="16"/>
        <v>0</v>
      </c>
      <c r="AU94" s="523">
        <f t="shared" si="16"/>
        <v>0</v>
      </c>
      <c r="AV94" s="523">
        <f t="shared" si="16"/>
        <v>0</v>
      </c>
      <c r="AW94" s="523">
        <f t="shared" si="16"/>
        <v>0</v>
      </c>
      <c r="AX94" s="523">
        <f t="shared" si="16"/>
        <v>0</v>
      </c>
      <c r="AY94" s="523">
        <f t="shared" si="16"/>
        <v>0</v>
      </c>
      <c r="AZ94" s="523">
        <f t="shared" si="16"/>
        <v>0</v>
      </c>
      <c r="BA94" s="523">
        <f t="shared" si="16"/>
        <v>0</v>
      </c>
      <c r="BB94" s="523">
        <f t="shared" si="16"/>
        <v>0</v>
      </c>
      <c r="BC94" s="523">
        <f t="shared" si="16"/>
        <v>0</v>
      </c>
      <c r="BD94" s="523">
        <f t="shared" si="16"/>
        <v>0</v>
      </c>
      <c r="BE94" s="523">
        <f t="shared" si="16"/>
        <v>0</v>
      </c>
      <c r="BF94" s="523">
        <f t="shared" si="16"/>
        <v>0</v>
      </c>
      <c r="BG94" s="523">
        <f t="shared" si="16"/>
        <v>0</v>
      </c>
      <c r="BH94" s="525">
        <f t="shared" si="16"/>
        <v>0</v>
      </c>
    </row>
    <row r="95" spans="2:60" x14ac:dyDescent="0.25">
      <c r="B95" s="570" t="s">
        <v>1521</v>
      </c>
      <c r="C95" s="574" t="e">
        <f t="shared" si="14"/>
        <v>#DIV/0!</v>
      </c>
      <c r="D95" s="580"/>
      <c r="E95" s="580"/>
      <c r="J95" s="524"/>
      <c r="K95" s="523">
        <f t="shared" si="17"/>
        <v>0</v>
      </c>
      <c r="L95" s="523">
        <f t="shared" si="17"/>
        <v>0</v>
      </c>
      <c r="M95" s="523">
        <f t="shared" si="17"/>
        <v>0</v>
      </c>
      <c r="N95" s="523">
        <f t="shared" si="17"/>
        <v>0</v>
      </c>
      <c r="O95" s="523">
        <f t="shared" si="17"/>
        <v>0</v>
      </c>
      <c r="P95" s="523">
        <f t="shared" si="17"/>
        <v>0</v>
      </c>
      <c r="Q95" s="523">
        <f t="shared" si="17"/>
        <v>0</v>
      </c>
      <c r="R95" s="523">
        <f t="shared" si="17"/>
        <v>0</v>
      </c>
      <c r="S95" s="523">
        <f t="shared" si="17"/>
        <v>0</v>
      </c>
      <c r="T95" s="523">
        <f t="shared" si="17"/>
        <v>0</v>
      </c>
      <c r="U95" s="523">
        <f t="shared" si="17"/>
        <v>0</v>
      </c>
      <c r="V95" s="523">
        <f t="shared" si="17"/>
        <v>0</v>
      </c>
      <c r="W95" s="523">
        <f t="shared" si="17"/>
        <v>0</v>
      </c>
      <c r="X95" s="523">
        <f t="shared" si="17"/>
        <v>0</v>
      </c>
      <c r="Y95" s="523">
        <f t="shared" si="17"/>
        <v>0</v>
      </c>
      <c r="Z95" s="523">
        <f t="shared" si="17"/>
        <v>0</v>
      </c>
      <c r="AA95" s="523">
        <f t="shared" si="18"/>
        <v>0</v>
      </c>
      <c r="AB95" s="523">
        <f t="shared" si="18"/>
        <v>0</v>
      </c>
      <c r="AC95" s="523">
        <f t="shared" si="18"/>
        <v>0</v>
      </c>
      <c r="AD95" s="523">
        <f t="shared" si="18"/>
        <v>0</v>
      </c>
      <c r="AE95" s="523">
        <f t="shared" si="18"/>
        <v>0</v>
      </c>
      <c r="AF95" s="523">
        <f t="shared" si="19"/>
        <v>0</v>
      </c>
      <c r="AG95" s="523">
        <f t="shared" si="19"/>
        <v>0</v>
      </c>
      <c r="AH95" s="523">
        <f t="shared" si="19"/>
        <v>0</v>
      </c>
      <c r="AI95" s="523">
        <f t="shared" si="19"/>
        <v>0</v>
      </c>
      <c r="AJ95" s="523">
        <f t="shared" si="19"/>
        <v>0</v>
      </c>
      <c r="AK95" s="523">
        <f t="shared" si="19"/>
        <v>0</v>
      </c>
      <c r="AL95" s="523">
        <f t="shared" si="19"/>
        <v>0</v>
      </c>
      <c r="AM95" s="523">
        <f t="shared" si="19"/>
        <v>0</v>
      </c>
      <c r="AN95" s="523">
        <f t="shared" si="19"/>
        <v>0</v>
      </c>
      <c r="AO95" s="523">
        <f t="shared" si="16"/>
        <v>0</v>
      </c>
      <c r="AP95" s="523">
        <f t="shared" si="16"/>
        <v>0</v>
      </c>
      <c r="AQ95" s="523">
        <f t="shared" ref="AQ95:BH107" si="20">IF($E95=AQ$81,$D95,0)</f>
        <v>0</v>
      </c>
      <c r="AR95" s="523">
        <f t="shared" si="20"/>
        <v>0</v>
      </c>
      <c r="AS95" s="523">
        <f t="shared" si="20"/>
        <v>0</v>
      </c>
      <c r="AT95" s="523">
        <f t="shared" si="20"/>
        <v>0</v>
      </c>
      <c r="AU95" s="523">
        <f t="shared" si="20"/>
        <v>0</v>
      </c>
      <c r="AV95" s="523">
        <f t="shared" si="20"/>
        <v>0</v>
      </c>
      <c r="AW95" s="523">
        <f t="shared" si="20"/>
        <v>0</v>
      </c>
      <c r="AX95" s="523">
        <f t="shared" si="20"/>
        <v>0</v>
      </c>
      <c r="AY95" s="523">
        <f t="shared" si="20"/>
        <v>0</v>
      </c>
      <c r="AZ95" s="523">
        <f t="shared" si="20"/>
        <v>0</v>
      </c>
      <c r="BA95" s="523">
        <f t="shared" si="20"/>
        <v>0</v>
      </c>
      <c r="BB95" s="523">
        <f t="shared" si="20"/>
        <v>0</v>
      </c>
      <c r="BC95" s="523">
        <f t="shared" si="20"/>
        <v>0</v>
      </c>
      <c r="BD95" s="523">
        <f t="shared" si="20"/>
        <v>0</v>
      </c>
      <c r="BE95" s="523">
        <f t="shared" si="20"/>
        <v>0</v>
      </c>
      <c r="BF95" s="523">
        <f t="shared" si="20"/>
        <v>0</v>
      </c>
      <c r="BG95" s="523">
        <f t="shared" si="20"/>
        <v>0</v>
      </c>
      <c r="BH95" s="525">
        <f t="shared" si="20"/>
        <v>0</v>
      </c>
    </row>
    <row r="96" spans="2:60" x14ac:dyDescent="0.25">
      <c r="B96" s="570" t="s">
        <v>1521</v>
      </c>
      <c r="C96" s="574" t="e">
        <f t="shared" si="14"/>
        <v>#DIV/0!</v>
      </c>
      <c r="D96" s="580"/>
      <c r="E96" s="580"/>
      <c r="J96" s="524"/>
      <c r="K96" s="523">
        <f t="shared" si="17"/>
        <v>0</v>
      </c>
      <c r="L96" s="523">
        <f t="shared" si="17"/>
        <v>0</v>
      </c>
      <c r="M96" s="523">
        <f t="shared" si="17"/>
        <v>0</v>
      </c>
      <c r="N96" s="523">
        <f t="shared" si="17"/>
        <v>0</v>
      </c>
      <c r="O96" s="523">
        <f t="shared" si="17"/>
        <v>0</v>
      </c>
      <c r="P96" s="523">
        <f t="shared" si="17"/>
        <v>0</v>
      </c>
      <c r="Q96" s="523">
        <f t="shared" si="17"/>
        <v>0</v>
      </c>
      <c r="R96" s="523">
        <f t="shared" si="17"/>
        <v>0</v>
      </c>
      <c r="S96" s="523">
        <f t="shared" si="17"/>
        <v>0</v>
      </c>
      <c r="T96" s="523">
        <f t="shared" si="17"/>
        <v>0</v>
      </c>
      <c r="U96" s="523">
        <f t="shared" si="17"/>
        <v>0</v>
      </c>
      <c r="V96" s="523">
        <f t="shared" si="17"/>
        <v>0</v>
      </c>
      <c r="W96" s="523">
        <f t="shared" si="17"/>
        <v>0</v>
      </c>
      <c r="X96" s="523">
        <f t="shared" si="17"/>
        <v>0</v>
      </c>
      <c r="Y96" s="523">
        <f t="shared" si="17"/>
        <v>0</v>
      </c>
      <c r="Z96" s="523">
        <f t="shared" si="17"/>
        <v>0</v>
      </c>
      <c r="AA96" s="523">
        <f t="shared" si="18"/>
        <v>0</v>
      </c>
      <c r="AB96" s="523">
        <f t="shared" si="18"/>
        <v>0</v>
      </c>
      <c r="AC96" s="523">
        <f t="shared" si="18"/>
        <v>0</v>
      </c>
      <c r="AD96" s="523">
        <f t="shared" si="18"/>
        <v>0</v>
      </c>
      <c r="AE96" s="523">
        <f t="shared" si="18"/>
        <v>0</v>
      </c>
      <c r="AF96" s="523">
        <f t="shared" si="19"/>
        <v>0</v>
      </c>
      <c r="AG96" s="523">
        <f t="shared" si="19"/>
        <v>0</v>
      </c>
      <c r="AH96" s="523">
        <f t="shared" si="19"/>
        <v>0</v>
      </c>
      <c r="AI96" s="523">
        <f t="shared" si="19"/>
        <v>0</v>
      </c>
      <c r="AJ96" s="523">
        <f t="shared" si="19"/>
        <v>0</v>
      </c>
      <c r="AK96" s="523">
        <f t="shared" si="19"/>
        <v>0</v>
      </c>
      <c r="AL96" s="523">
        <f t="shared" si="19"/>
        <v>0</v>
      </c>
      <c r="AM96" s="523">
        <f t="shared" si="19"/>
        <v>0</v>
      </c>
      <c r="AN96" s="523">
        <f t="shared" si="19"/>
        <v>0</v>
      </c>
      <c r="AO96" s="523">
        <f t="shared" si="19"/>
        <v>0</v>
      </c>
      <c r="AP96" s="523">
        <f t="shared" si="19"/>
        <v>0</v>
      </c>
      <c r="AQ96" s="523">
        <f t="shared" si="19"/>
        <v>0</v>
      </c>
      <c r="AR96" s="523">
        <f t="shared" si="19"/>
        <v>0</v>
      </c>
      <c r="AS96" s="523">
        <f t="shared" si="19"/>
        <v>0</v>
      </c>
      <c r="AT96" s="523">
        <f t="shared" si="19"/>
        <v>0</v>
      </c>
      <c r="AU96" s="523">
        <f t="shared" si="19"/>
        <v>0</v>
      </c>
      <c r="AV96" s="523">
        <f t="shared" si="20"/>
        <v>0</v>
      </c>
      <c r="AW96" s="523">
        <f t="shared" si="20"/>
        <v>0</v>
      </c>
      <c r="AX96" s="523">
        <f t="shared" si="20"/>
        <v>0</v>
      </c>
      <c r="AY96" s="523">
        <f t="shared" si="20"/>
        <v>0</v>
      </c>
      <c r="AZ96" s="523">
        <f t="shared" si="20"/>
        <v>0</v>
      </c>
      <c r="BA96" s="523">
        <f t="shared" si="20"/>
        <v>0</v>
      </c>
      <c r="BB96" s="523">
        <f t="shared" si="20"/>
        <v>0</v>
      </c>
      <c r="BC96" s="523">
        <f t="shared" si="20"/>
        <v>0</v>
      </c>
      <c r="BD96" s="523">
        <f t="shared" si="20"/>
        <v>0</v>
      </c>
      <c r="BE96" s="523">
        <f t="shared" si="20"/>
        <v>0</v>
      </c>
      <c r="BF96" s="523">
        <f t="shared" si="20"/>
        <v>0</v>
      </c>
      <c r="BG96" s="523">
        <f t="shared" si="20"/>
        <v>0</v>
      </c>
      <c r="BH96" s="525">
        <f t="shared" si="20"/>
        <v>0</v>
      </c>
    </row>
    <row r="97" spans="2:60" x14ac:dyDescent="0.25">
      <c r="B97" s="570" t="s">
        <v>1521</v>
      </c>
      <c r="C97" s="574" t="e">
        <f t="shared" si="14"/>
        <v>#DIV/0!</v>
      </c>
      <c r="D97" s="580"/>
      <c r="E97" s="580"/>
      <c r="J97" s="524"/>
      <c r="K97" s="523">
        <f t="shared" si="17"/>
        <v>0</v>
      </c>
      <c r="L97" s="523">
        <f t="shared" si="17"/>
        <v>0</v>
      </c>
      <c r="M97" s="523">
        <f t="shared" si="17"/>
        <v>0</v>
      </c>
      <c r="N97" s="523">
        <f t="shared" si="17"/>
        <v>0</v>
      </c>
      <c r="O97" s="523">
        <f t="shared" si="17"/>
        <v>0</v>
      </c>
      <c r="P97" s="523">
        <f t="shared" si="17"/>
        <v>0</v>
      </c>
      <c r="Q97" s="523">
        <f t="shared" si="17"/>
        <v>0</v>
      </c>
      <c r="R97" s="523">
        <f t="shared" si="17"/>
        <v>0</v>
      </c>
      <c r="S97" s="523">
        <f t="shared" si="17"/>
        <v>0</v>
      </c>
      <c r="T97" s="523">
        <f t="shared" si="17"/>
        <v>0</v>
      </c>
      <c r="U97" s="523">
        <f t="shared" si="17"/>
        <v>0</v>
      </c>
      <c r="V97" s="523">
        <f t="shared" si="17"/>
        <v>0</v>
      </c>
      <c r="W97" s="523">
        <f t="shared" si="17"/>
        <v>0</v>
      </c>
      <c r="X97" s="523">
        <f t="shared" si="17"/>
        <v>0</v>
      </c>
      <c r="Y97" s="523">
        <f t="shared" si="17"/>
        <v>0</v>
      </c>
      <c r="Z97" s="523">
        <f t="shared" si="17"/>
        <v>0</v>
      </c>
      <c r="AA97" s="523">
        <f t="shared" si="18"/>
        <v>0</v>
      </c>
      <c r="AB97" s="523">
        <f t="shared" si="18"/>
        <v>0</v>
      </c>
      <c r="AC97" s="523">
        <f t="shared" si="18"/>
        <v>0</v>
      </c>
      <c r="AD97" s="523">
        <f t="shared" si="18"/>
        <v>0</v>
      </c>
      <c r="AE97" s="523">
        <f t="shared" si="18"/>
        <v>0</v>
      </c>
      <c r="AF97" s="523">
        <f t="shared" si="19"/>
        <v>0</v>
      </c>
      <c r="AG97" s="523">
        <f t="shared" si="19"/>
        <v>0</v>
      </c>
      <c r="AH97" s="523">
        <f t="shared" si="19"/>
        <v>0</v>
      </c>
      <c r="AI97" s="523">
        <f t="shared" si="19"/>
        <v>0</v>
      </c>
      <c r="AJ97" s="523">
        <f t="shared" si="19"/>
        <v>0</v>
      </c>
      <c r="AK97" s="523">
        <f t="shared" si="19"/>
        <v>0</v>
      </c>
      <c r="AL97" s="523">
        <f t="shared" si="19"/>
        <v>0</v>
      </c>
      <c r="AM97" s="523">
        <f t="shared" si="19"/>
        <v>0</v>
      </c>
      <c r="AN97" s="523">
        <f t="shared" si="19"/>
        <v>0</v>
      </c>
      <c r="AO97" s="523">
        <f t="shared" si="19"/>
        <v>0</v>
      </c>
      <c r="AP97" s="523">
        <f t="shared" si="19"/>
        <v>0</v>
      </c>
      <c r="AQ97" s="523">
        <f t="shared" si="19"/>
        <v>0</v>
      </c>
      <c r="AR97" s="523">
        <f t="shared" si="19"/>
        <v>0</v>
      </c>
      <c r="AS97" s="523">
        <f t="shared" si="19"/>
        <v>0</v>
      </c>
      <c r="AT97" s="523">
        <f t="shared" si="19"/>
        <v>0</v>
      </c>
      <c r="AU97" s="523">
        <f t="shared" si="19"/>
        <v>0</v>
      </c>
      <c r="AV97" s="523">
        <f t="shared" si="20"/>
        <v>0</v>
      </c>
      <c r="AW97" s="523">
        <f t="shared" si="20"/>
        <v>0</v>
      </c>
      <c r="AX97" s="523">
        <f t="shared" si="20"/>
        <v>0</v>
      </c>
      <c r="AY97" s="523">
        <f t="shared" si="20"/>
        <v>0</v>
      </c>
      <c r="AZ97" s="523">
        <f t="shared" si="20"/>
        <v>0</v>
      </c>
      <c r="BA97" s="523">
        <f t="shared" si="20"/>
        <v>0</v>
      </c>
      <c r="BB97" s="523">
        <f t="shared" si="20"/>
        <v>0</v>
      </c>
      <c r="BC97" s="523">
        <f t="shared" si="20"/>
        <v>0</v>
      </c>
      <c r="BD97" s="523">
        <f t="shared" si="20"/>
        <v>0</v>
      </c>
      <c r="BE97" s="523">
        <f t="shared" si="20"/>
        <v>0</v>
      </c>
      <c r="BF97" s="523">
        <f t="shared" si="20"/>
        <v>0</v>
      </c>
      <c r="BG97" s="523">
        <f t="shared" si="20"/>
        <v>0</v>
      </c>
      <c r="BH97" s="525">
        <f t="shared" si="20"/>
        <v>0</v>
      </c>
    </row>
    <row r="98" spans="2:60" x14ac:dyDescent="0.25">
      <c r="B98" s="570"/>
      <c r="C98" s="574" t="e">
        <f t="shared" si="14"/>
        <v>#DIV/0!</v>
      </c>
      <c r="D98" s="580"/>
      <c r="E98" s="580"/>
      <c r="J98" s="524"/>
      <c r="K98" s="523">
        <f t="shared" si="17"/>
        <v>0</v>
      </c>
      <c r="L98" s="523">
        <f t="shared" si="17"/>
        <v>0</v>
      </c>
      <c r="M98" s="523">
        <f t="shared" si="17"/>
        <v>0</v>
      </c>
      <c r="N98" s="523">
        <f t="shared" si="17"/>
        <v>0</v>
      </c>
      <c r="O98" s="523">
        <f t="shared" si="17"/>
        <v>0</v>
      </c>
      <c r="P98" s="523">
        <f t="shared" si="17"/>
        <v>0</v>
      </c>
      <c r="Q98" s="523">
        <f t="shared" si="17"/>
        <v>0</v>
      </c>
      <c r="R98" s="523">
        <f t="shared" si="17"/>
        <v>0</v>
      </c>
      <c r="S98" s="523">
        <f t="shared" si="17"/>
        <v>0</v>
      </c>
      <c r="T98" s="523">
        <f t="shared" si="17"/>
        <v>0</v>
      </c>
      <c r="U98" s="523">
        <f t="shared" si="17"/>
        <v>0</v>
      </c>
      <c r="V98" s="523">
        <f t="shared" si="17"/>
        <v>0</v>
      </c>
      <c r="W98" s="523">
        <f t="shared" si="17"/>
        <v>0</v>
      </c>
      <c r="X98" s="523">
        <f t="shared" si="17"/>
        <v>0</v>
      </c>
      <c r="Y98" s="523">
        <f t="shared" si="17"/>
        <v>0</v>
      </c>
      <c r="Z98" s="523">
        <f t="shared" si="17"/>
        <v>0</v>
      </c>
      <c r="AA98" s="523">
        <f t="shared" si="18"/>
        <v>0</v>
      </c>
      <c r="AB98" s="523">
        <f t="shared" si="18"/>
        <v>0</v>
      </c>
      <c r="AC98" s="523">
        <f t="shared" si="18"/>
        <v>0</v>
      </c>
      <c r="AD98" s="523">
        <f t="shared" si="18"/>
        <v>0</v>
      </c>
      <c r="AE98" s="523">
        <f t="shared" si="18"/>
        <v>0</v>
      </c>
      <c r="AF98" s="523">
        <f t="shared" si="19"/>
        <v>0</v>
      </c>
      <c r="AG98" s="523">
        <f t="shared" si="19"/>
        <v>0</v>
      </c>
      <c r="AH98" s="523">
        <f t="shared" si="19"/>
        <v>0</v>
      </c>
      <c r="AI98" s="523">
        <f t="shared" si="19"/>
        <v>0</v>
      </c>
      <c r="AJ98" s="523">
        <f t="shared" si="19"/>
        <v>0</v>
      </c>
      <c r="AK98" s="523">
        <f t="shared" si="19"/>
        <v>0</v>
      </c>
      <c r="AL98" s="523">
        <f t="shared" si="19"/>
        <v>0</v>
      </c>
      <c r="AM98" s="523">
        <f t="shared" si="19"/>
        <v>0</v>
      </c>
      <c r="AN98" s="523">
        <f t="shared" si="19"/>
        <v>0</v>
      </c>
      <c r="AO98" s="523">
        <f t="shared" si="19"/>
        <v>0</v>
      </c>
      <c r="AP98" s="523">
        <f t="shared" si="19"/>
        <v>0</v>
      </c>
      <c r="AQ98" s="523">
        <f t="shared" si="19"/>
        <v>0</v>
      </c>
      <c r="AR98" s="523">
        <f t="shared" si="19"/>
        <v>0</v>
      </c>
      <c r="AS98" s="523">
        <f t="shared" si="19"/>
        <v>0</v>
      </c>
      <c r="AT98" s="523">
        <f t="shared" si="19"/>
        <v>0</v>
      </c>
      <c r="AU98" s="523">
        <f t="shared" si="19"/>
        <v>0</v>
      </c>
      <c r="AV98" s="523">
        <f t="shared" si="20"/>
        <v>0</v>
      </c>
      <c r="AW98" s="523">
        <f t="shared" si="20"/>
        <v>0</v>
      </c>
      <c r="AX98" s="523">
        <f t="shared" si="20"/>
        <v>0</v>
      </c>
      <c r="AY98" s="523">
        <f t="shared" si="20"/>
        <v>0</v>
      </c>
      <c r="AZ98" s="523">
        <f t="shared" si="20"/>
        <v>0</v>
      </c>
      <c r="BA98" s="523">
        <f t="shared" si="20"/>
        <v>0</v>
      </c>
      <c r="BB98" s="523">
        <f t="shared" si="20"/>
        <v>0</v>
      </c>
      <c r="BC98" s="523">
        <f t="shared" si="20"/>
        <v>0</v>
      </c>
      <c r="BD98" s="523">
        <f t="shared" si="20"/>
        <v>0</v>
      </c>
      <c r="BE98" s="523">
        <f t="shared" si="20"/>
        <v>0</v>
      </c>
      <c r="BF98" s="523">
        <f t="shared" si="20"/>
        <v>0</v>
      </c>
      <c r="BG98" s="523">
        <f t="shared" si="20"/>
        <v>0</v>
      </c>
      <c r="BH98" s="525">
        <f t="shared" si="20"/>
        <v>0</v>
      </c>
    </row>
    <row r="99" spans="2:60" x14ac:dyDescent="0.25">
      <c r="B99" s="570"/>
      <c r="C99" s="574" t="e">
        <f t="shared" si="14"/>
        <v>#DIV/0!</v>
      </c>
      <c r="D99" s="580"/>
      <c r="E99" s="580"/>
      <c r="J99" s="524"/>
      <c r="K99" s="523">
        <f t="shared" si="17"/>
        <v>0</v>
      </c>
      <c r="L99" s="523">
        <f t="shared" si="17"/>
        <v>0</v>
      </c>
      <c r="M99" s="523">
        <f t="shared" si="17"/>
        <v>0</v>
      </c>
      <c r="N99" s="523">
        <f t="shared" si="17"/>
        <v>0</v>
      </c>
      <c r="O99" s="523">
        <f t="shared" si="17"/>
        <v>0</v>
      </c>
      <c r="P99" s="523">
        <f t="shared" si="17"/>
        <v>0</v>
      </c>
      <c r="Q99" s="523">
        <f t="shared" si="17"/>
        <v>0</v>
      </c>
      <c r="R99" s="523">
        <f t="shared" si="17"/>
        <v>0</v>
      </c>
      <c r="S99" s="523">
        <f t="shared" si="17"/>
        <v>0</v>
      </c>
      <c r="T99" s="523">
        <f t="shared" si="17"/>
        <v>0</v>
      </c>
      <c r="U99" s="523">
        <f t="shared" si="17"/>
        <v>0</v>
      </c>
      <c r="V99" s="523">
        <f t="shared" si="17"/>
        <v>0</v>
      </c>
      <c r="W99" s="523">
        <f t="shared" si="17"/>
        <v>0</v>
      </c>
      <c r="X99" s="523">
        <f t="shared" si="17"/>
        <v>0</v>
      </c>
      <c r="Y99" s="523">
        <f t="shared" si="17"/>
        <v>0</v>
      </c>
      <c r="Z99" s="523">
        <f t="shared" si="17"/>
        <v>0</v>
      </c>
      <c r="AA99" s="523">
        <f t="shared" si="18"/>
        <v>0</v>
      </c>
      <c r="AB99" s="523">
        <f t="shared" si="18"/>
        <v>0</v>
      </c>
      <c r="AC99" s="523">
        <f t="shared" si="18"/>
        <v>0</v>
      </c>
      <c r="AD99" s="523">
        <f t="shared" si="18"/>
        <v>0</v>
      </c>
      <c r="AE99" s="523">
        <f t="shared" si="18"/>
        <v>0</v>
      </c>
      <c r="AF99" s="523">
        <f t="shared" si="19"/>
        <v>0</v>
      </c>
      <c r="AG99" s="523">
        <f t="shared" si="19"/>
        <v>0</v>
      </c>
      <c r="AH99" s="523">
        <f t="shared" si="19"/>
        <v>0</v>
      </c>
      <c r="AI99" s="523">
        <f t="shared" si="19"/>
        <v>0</v>
      </c>
      <c r="AJ99" s="523">
        <f t="shared" si="19"/>
        <v>0</v>
      </c>
      <c r="AK99" s="523">
        <f t="shared" si="19"/>
        <v>0</v>
      </c>
      <c r="AL99" s="523">
        <f t="shared" si="19"/>
        <v>0</v>
      </c>
      <c r="AM99" s="523">
        <f t="shared" si="19"/>
        <v>0</v>
      </c>
      <c r="AN99" s="523">
        <f t="shared" si="19"/>
        <v>0</v>
      </c>
      <c r="AO99" s="523">
        <f t="shared" si="19"/>
        <v>0</v>
      </c>
      <c r="AP99" s="523">
        <f t="shared" si="19"/>
        <v>0</v>
      </c>
      <c r="AQ99" s="523">
        <f t="shared" si="19"/>
        <v>0</v>
      </c>
      <c r="AR99" s="523">
        <f t="shared" si="19"/>
        <v>0</v>
      </c>
      <c r="AS99" s="523">
        <f t="shared" si="19"/>
        <v>0</v>
      </c>
      <c r="AT99" s="523">
        <f t="shared" si="19"/>
        <v>0</v>
      </c>
      <c r="AU99" s="523">
        <f t="shared" si="19"/>
        <v>0</v>
      </c>
      <c r="AV99" s="523">
        <f t="shared" si="20"/>
        <v>0</v>
      </c>
      <c r="AW99" s="523">
        <f t="shared" si="20"/>
        <v>0</v>
      </c>
      <c r="AX99" s="523">
        <f t="shared" si="20"/>
        <v>0</v>
      </c>
      <c r="AY99" s="523">
        <f t="shared" si="20"/>
        <v>0</v>
      </c>
      <c r="AZ99" s="523">
        <f t="shared" si="20"/>
        <v>0</v>
      </c>
      <c r="BA99" s="523">
        <f t="shared" si="20"/>
        <v>0</v>
      </c>
      <c r="BB99" s="523">
        <f t="shared" si="20"/>
        <v>0</v>
      </c>
      <c r="BC99" s="523">
        <f t="shared" si="20"/>
        <v>0</v>
      </c>
      <c r="BD99" s="523">
        <f t="shared" si="20"/>
        <v>0</v>
      </c>
      <c r="BE99" s="523">
        <f t="shared" si="20"/>
        <v>0</v>
      </c>
      <c r="BF99" s="523">
        <f t="shared" si="20"/>
        <v>0</v>
      </c>
      <c r="BG99" s="523">
        <f t="shared" si="20"/>
        <v>0</v>
      </c>
      <c r="BH99" s="525">
        <f t="shared" si="20"/>
        <v>0</v>
      </c>
    </row>
    <row r="100" spans="2:60" x14ac:dyDescent="0.25">
      <c r="B100" s="570"/>
      <c r="C100" s="574" t="e">
        <f t="shared" si="14"/>
        <v>#DIV/0!</v>
      </c>
      <c r="D100" s="580"/>
      <c r="E100" s="580"/>
      <c r="J100" s="524"/>
      <c r="K100" s="523">
        <f t="shared" si="17"/>
        <v>0</v>
      </c>
      <c r="L100" s="523">
        <f t="shared" si="17"/>
        <v>0</v>
      </c>
      <c r="M100" s="523">
        <f t="shared" si="17"/>
        <v>0</v>
      </c>
      <c r="N100" s="523">
        <f t="shared" si="17"/>
        <v>0</v>
      </c>
      <c r="O100" s="523">
        <f t="shared" si="17"/>
        <v>0</v>
      </c>
      <c r="P100" s="523">
        <f t="shared" si="17"/>
        <v>0</v>
      </c>
      <c r="Q100" s="523">
        <f t="shared" si="17"/>
        <v>0</v>
      </c>
      <c r="R100" s="523">
        <f t="shared" si="17"/>
        <v>0</v>
      </c>
      <c r="S100" s="523">
        <f t="shared" si="17"/>
        <v>0</v>
      </c>
      <c r="T100" s="523">
        <f t="shared" si="17"/>
        <v>0</v>
      </c>
      <c r="U100" s="523">
        <f t="shared" si="17"/>
        <v>0</v>
      </c>
      <c r="V100" s="523">
        <f t="shared" si="17"/>
        <v>0</v>
      </c>
      <c r="W100" s="523">
        <f t="shared" si="17"/>
        <v>0</v>
      </c>
      <c r="X100" s="523">
        <f t="shared" si="17"/>
        <v>0</v>
      </c>
      <c r="Y100" s="523">
        <f t="shared" si="17"/>
        <v>0</v>
      </c>
      <c r="Z100" s="523">
        <f t="shared" si="17"/>
        <v>0</v>
      </c>
      <c r="AA100" s="523">
        <f t="shared" si="18"/>
        <v>0</v>
      </c>
      <c r="AB100" s="523">
        <f t="shared" si="18"/>
        <v>0</v>
      </c>
      <c r="AC100" s="523">
        <f t="shared" si="18"/>
        <v>0</v>
      </c>
      <c r="AD100" s="523">
        <f t="shared" si="18"/>
        <v>0</v>
      </c>
      <c r="AE100" s="523">
        <f t="shared" si="18"/>
        <v>0</v>
      </c>
      <c r="AF100" s="523">
        <f t="shared" si="19"/>
        <v>0</v>
      </c>
      <c r="AG100" s="523">
        <f t="shared" si="19"/>
        <v>0</v>
      </c>
      <c r="AH100" s="523">
        <f t="shared" si="19"/>
        <v>0</v>
      </c>
      <c r="AI100" s="523">
        <f t="shared" si="19"/>
        <v>0</v>
      </c>
      <c r="AJ100" s="523">
        <f t="shared" si="19"/>
        <v>0</v>
      </c>
      <c r="AK100" s="523">
        <f t="shared" si="19"/>
        <v>0</v>
      </c>
      <c r="AL100" s="523">
        <f t="shared" si="19"/>
        <v>0</v>
      </c>
      <c r="AM100" s="523">
        <f t="shared" si="19"/>
        <v>0</v>
      </c>
      <c r="AN100" s="523">
        <f t="shared" si="19"/>
        <v>0</v>
      </c>
      <c r="AO100" s="523">
        <f t="shared" si="19"/>
        <v>0</v>
      </c>
      <c r="AP100" s="523">
        <f t="shared" si="19"/>
        <v>0</v>
      </c>
      <c r="AQ100" s="523">
        <f t="shared" si="19"/>
        <v>0</v>
      </c>
      <c r="AR100" s="523">
        <f t="shared" si="19"/>
        <v>0</v>
      </c>
      <c r="AS100" s="523">
        <f t="shared" si="19"/>
        <v>0</v>
      </c>
      <c r="AT100" s="523">
        <f t="shared" si="19"/>
        <v>0</v>
      </c>
      <c r="AU100" s="523">
        <f t="shared" si="19"/>
        <v>0</v>
      </c>
      <c r="AV100" s="523">
        <f t="shared" si="20"/>
        <v>0</v>
      </c>
      <c r="AW100" s="523">
        <f t="shared" si="20"/>
        <v>0</v>
      </c>
      <c r="AX100" s="523">
        <f t="shared" si="20"/>
        <v>0</v>
      </c>
      <c r="AY100" s="523">
        <f t="shared" si="20"/>
        <v>0</v>
      </c>
      <c r="AZ100" s="523">
        <f t="shared" si="20"/>
        <v>0</v>
      </c>
      <c r="BA100" s="523">
        <f t="shared" si="20"/>
        <v>0</v>
      </c>
      <c r="BB100" s="523">
        <f t="shared" si="20"/>
        <v>0</v>
      </c>
      <c r="BC100" s="523">
        <f t="shared" si="20"/>
        <v>0</v>
      </c>
      <c r="BD100" s="523">
        <f t="shared" si="20"/>
        <v>0</v>
      </c>
      <c r="BE100" s="523">
        <f t="shared" si="20"/>
        <v>0</v>
      </c>
      <c r="BF100" s="523">
        <f t="shared" si="20"/>
        <v>0</v>
      </c>
      <c r="BG100" s="523">
        <f t="shared" si="20"/>
        <v>0</v>
      </c>
      <c r="BH100" s="525">
        <f t="shared" si="20"/>
        <v>0</v>
      </c>
    </row>
    <row r="101" spans="2:60" x14ac:dyDescent="0.25">
      <c r="B101" s="570"/>
      <c r="C101" s="574" t="e">
        <f t="shared" si="14"/>
        <v>#DIV/0!</v>
      </c>
      <c r="D101" s="580"/>
      <c r="E101" s="580"/>
      <c r="J101" s="524"/>
      <c r="K101" s="523">
        <f t="shared" si="17"/>
        <v>0</v>
      </c>
      <c r="L101" s="523">
        <f t="shared" si="17"/>
        <v>0</v>
      </c>
      <c r="M101" s="523">
        <f t="shared" si="17"/>
        <v>0</v>
      </c>
      <c r="N101" s="523">
        <f t="shared" si="17"/>
        <v>0</v>
      </c>
      <c r="O101" s="523">
        <f t="shared" si="17"/>
        <v>0</v>
      </c>
      <c r="P101" s="523">
        <f t="shared" si="17"/>
        <v>0</v>
      </c>
      <c r="Q101" s="523">
        <f t="shared" si="17"/>
        <v>0</v>
      </c>
      <c r="R101" s="523">
        <f t="shared" si="17"/>
        <v>0</v>
      </c>
      <c r="S101" s="523">
        <f t="shared" si="17"/>
        <v>0</v>
      </c>
      <c r="T101" s="523">
        <f t="shared" si="17"/>
        <v>0</v>
      </c>
      <c r="U101" s="523">
        <f t="shared" si="17"/>
        <v>0</v>
      </c>
      <c r="V101" s="523">
        <f t="shared" si="17"/>
        <v>0</v>
      </c>
      <c r="W101" s="523">
        <f t="shared" si="17"/>
        <v>0</v>
      </c>
      <c r="X101" s="523">
        <f t="shared" si="17"/>
        <v>0</v>
      </c>
      <c r="Y101" s="523">
        <f t="shared" si="17"/>
        <v>0</v>
      </c>
      <c r="Z101" s="523">
        <f t="shared" si="17"/>
        <v>0</v>
      </c>
      <c r="AA101" s="523">
        <f t="shared" si="18"/>
        <v>0</v>
      </c>
      <c r="AB101" s="523">
        <f t="shared" si="18"/>
        <v>0</v>
      </c>
      <c r="AC101" s="523">
        <f t="shared" si="18"/>
        <v>0</v>
      </c>
      <c r="AD101" s="523">
        <f t="shared" si="18"/>
        <v>0</v>
      </c>
      <c r="AE101" s="523">
        <f t="shared" si="18"/>
        <v>0</v>
      </c>
      <c r="AF101" s="523">
        <f t="shared" si="19"/>
        <v>0</v>
      </c>
      <c r="AG101" s="523">
        <f t="shared" si="19"/>
        <v>0</v>
      </c>
      <c r="AH101" s="523">
        <f t="shared" si="19"/>
        <v>0</v>
      </c>
      <c r="AI101" s="523">
        <f t="shared" si="19"/>
        <v>0</v>
      </c>
      <c r="AJ101" s="523">
        <f t="shared" si="19"/>
        <v>0</v>
      </c>
      <c r="AK101" s="523">
        <f t="shared" si="19"/>
        <v>0</v>
      </c>
      <c r="AL101" s="523">
        <f t="shared" si="19"/>
        <v>0</v>
      </c>
      <c r="AM101" s="523">
        <f t="shared" si="19"/>
        <v>0</v>
      </c>
      <c r="AN101" s="523">
        <f t="shared" si="19"/>
        <v>0</v>
      </c>
      <c r="AO101" s="523">
        <f t="shared" si="19"/>
        <v>0</v>
      </c>
      <c r="AP101" s="523">
        <f t="shared" si="19"/>
        <v>0</v>
      </c>
      <c r="AQ101" s="523">
        <f t="shared" si="19"/>
        <v>0</v>
      </c>
      <c r="AR101" s="523">
        <f t="shared" si="19"/>
        <v>0</v>
      </c>
      <c r="AS101" s="523">
        <f t="shared" si="19"/>
        <v>0</v>
      </c>
      <c r="AT101" s="523">
        <f t="shared" si="19"/>
        <v>0</v>
      </c>
      <c r="AU101" s="523">
        <f t="shared" si="19"/>
        <v>0</v>
      </c>
      <c r="AV101" s="523">
        <f t="shared" si="20"/>
        <v>0</v>
      </c>
      <c r="AW101" s="523">
        <f t="shared" si="20"/>
        <v>0</v>
      </c>
      <c r="AX101" s="523">
        <f t="shared" si="20"/>
        <v>0</v>
      </c>
      <c r="AY101" s="523">
        <f t="shared" si="20"/>
        <v>0</v>
      </c>
      <c r="AZ101" s="523">
        <f t="shared" si="20"/>
        <v>0</v>
      </c>
      <c r="BA101" s="523">
        <f t="shared" si="20"/>
        <v>0</v>
      </c>
      <c r="BB101" s="523">
        <f t="shared" si="20"/>
        <v>0</v>
      </c>
      <c r="BC101" s="523">
        <f t="shared" si="20"/>
        <v>0</v>
      </c>
      <c r="BD101" s="523">
        <f t="shared" si="20"/>
        <v>0</v>
      </c>
      <c r="BE101" s="523">
        <f t="shared" si="20"/>
        <v>0</v>
      </c>
      <c r="BF101" s="523">
        <f t="shared" si="20"/>
        <v>0</v>
      </c>
      <c r="BG101" s="523">
        <f t="shared" si="20"/>
        <v>0</v>
      </c>
      <c r="BH101" s="525">
        <f t="shared" si="20"/>
        <v>0</v>
      </c>
    </row>
    <row r="102" spans="2:60" x14ac:dyDescent="0.25">
      <c r="B102" s="570"/>
      <c r="C102" s="574" t="e">
        <f t="shared" si="14"/>
        <v>#DIV/0!</v>
      </c>
      <c r="D102" s="580"/>
      <c r="E102" s="580"/>
      <c r="J102" s="524"/>
      <c r="K102" s="523">
        <f t="shared" si="17"/>
        <v>0</v>
      </c>
      <c r="L102" s="523">
        <f t="shared" si="17"/>
        <v>0</v>
      </c>
      <c r="M102" s="523">
        <f t="shared" si="17"/>
        <v>0</v>
      </c>
      <c r="N102" s="523">
        <f t="shared" si="17"/>
        <v>0</v>
      </c>
      <c r="O102" s="523">
        <f t="shared" si="17"/>
        <v>0</v>
      </c>
      <c r="P102" s="523">
        <f t="shared" si="17"/>
        <v>0</v>
      </c>
      <c r="Q102" s="523">
        <f t="shared" si="17"/>
        <v>0</v>
      </c>
      <c r="R102" s="523">
        <f t="shared" si="17"/>
        <v>0</v>
      </c>
      <c r="S102" s="523">
        <f t="shared" si="17"/>
        <v>0</v>
      </c>
      <c r="T102" s="523">
        <f t="shared" si="17"/>
        <v>0</v>
      </c>
      <c r="U102" s="523">
        <f t="shared" si="17"/>
        <v>0</v>
      </c>
      <c r="V102" s="523">
        <f t="shared" si="17"/>
        <v>0</v>
      </c>
      <c r="W102" s="523">
        <f t="shared" si="17"/>
        <v>0</v>
      </c>
      <c r="X102" s="523">
        <f t="shared" si="17"/>
        <v>0</v>
      </c>
      <c r="Y102" s="523">
        <f t="shared" si="17"/>
        <v>0</v>
      </c>
      <c r="Z102" s="523">
        <f t="shared" si="17"/>
        <v>0</v>
      </c>
      <c r="AA102" s="523">
        <f t="shared" si="18"/>
        <v>0</v>
      </c>
      <c r="AB102" s="523">
        <f t="shared" si="18"/>
        <v>0</v>
      </c>
      <c r="AC102" s="523">
        <f t="shared" si="18"/>
        <v>0</v>
      </c>
      <c r="AD102" s="523">
        <f t="shared" si="18"/>
        <v>0</v>
      </c>
      <c r="AE102" s="523">
        <f t="shared" si="18"/>
        <v>0</v>
      </c>
      <c r="AF102" s="523">
        <f t="shared" si="19"/>
        <v>0</v>
      </c>
      <c r="AG102" s="523">
        <f t="shared" si="19"/>
        <v>0</v>
      </c>
      <c r="AH102" s="523">
        <f t="shared" si="19"/>
        <v>0</v>
      </c>
      <c r="AI102" s="523">
        <f t="shared" si="19"/>
        <v>0</v>
      </c>
      <c r="AJ102" s="523">
        <f t="shared" si="19"/>
        <v>0</v>
      </c>
      <c r="AK102" s="523">
        <f t="shared" si="19"/>
        <v>0</v>
      </c>
      <c r="AL102" s="523">
        <f t="shared" si="19"/>
        <v>0</v>
      </c>
      <c r="AM102" s="523">
        <f t="shared" si="19"/>
        <v>0</v>
      </c>
      <c r="AN102" s="523">
        <f t="shared" si="19"/>
        <v>0</v>
      </c>
      <c r="AO102" s="523">
        <f t="shared" si="19"/>
        <v>0</v>
      </c>
      <c r="AP102" s="523">
        <f t="shared" si="19"/>
        <v>0</v>
      </c>
      <c r="AQ102" s="523">
        <f t="shared" si="19"/>
        <v>0</v>
      </c>
      <c r="AR102" s="523">
        <f t="shared" si="19"/>
        <v>0</v>
      </c>
      <c r="AS102" s="523">
        <f t="shared" si="19"/>
        <v>0</v>
      </c>
      <c r="AT102" s="523">
        <f t="shared" si="19"/>
        <v>0</v>
      </c>
      <c r="AU102" s="523">
        <f t="shared" si="19"/>
        <v>0</v>
      </c>
      <c r="AV102" s="523">
        <f t="shared" si="20"/>
        <v>0</v>
      </c>
      <c r="AW102" s="523">
        <f t="shared" si="20"/>
        <v>0</v>
      </c>
      <c r="AX102" s="523">
        <f t="shared" si="20"/>
        <v>0</v>
      </c>
      <c r="AY102" s="523">
        <f t="shared" si="20"/>
        <v>0</v>
      </c>
      <c r="AZ102" s="523">
        <f t="shared" si="20"/>
        <v>0</v>
      </c>
      <c r="BA102" s="523">
        <f t="shared" si="20"/>
        <v>0</v>
      </c>
      <c r="BB102" s="523">
        <f t="shared" si="20"/>
        <v>0</v>
      </c>
      <c r="BC102" s="523">
        <f t="shared" si="20"/>
        <v>0</v>
      </c>
      <c r="BD102" s="523">
        <f t="shared" si="20"/>
        <v>0</v>
      </c>
      <c r="BE102" s="523">
        <f t="shared" si="20"/>
        <v>0</v>
      </c>
      <c r="BF102" s="523">
        <f t="shared" si="20"/>
        <v>0</v>
      </c>
      <c r="BG102" s="523">
        <f t="shared" si="20"/>
        <v>0</v>
      </c>
      <c r="BH102" s="525">
        <f t="shared" si="20"/>
        <v>0</v>
      </c>
    </row>
    <row r="103" spans="2:60" x14ac:dyDescent="0.25">
      <c r="B103" s="570"/>
      <c r="C103" s="574" t="e">
        <f t="shared" si="14"/>
        <v>#DIV/0!</v>
      </c>
      <c r="D103" s="580"/>
      <c r="E103" s="580"/>
      <c r="J103" s="524"/>
      <c r="K103" s="523">
        <f t="shared" si="17"/>
        <v>0</v>
      </c>
      <c r="L103" s="523">
        <f t="shared" si="17"/>
        <v>0</v>
      </c>
      <c r="M103" s="523">
        <f t="shared" si="17"/>
        <v>0</v>
      </c>
      <c r="N103" s="523">
        <f t="shared" si="17"/>
        <v>0</v>
      </c>
      <c r="O103" s="523">
        <f t="shared" si="17"/>
        <v>0</v>
      </c>
      <c r="P103" s="523">
        <f t="shared" si="17"/>
        <v>0</v>
      </c>
      <c r="Q103" s="523">
        <f t="shared" si="17"/>
        <v>0</v>
      </c>
      <c r="R103" s="523">
        <f t="shared" si="17"/>
        <v>0</v>
      </c>
      <c r="S103" s="523">
        <f t="shared" si="17"/>
        <v>0</v>
      </c>
      <c r="T103" s="523">
        <f t="shared" si="17"/>
        <v>0</v>
      </c>
      <c r="U103" s="523">
        <f t="shared" si="17"/>
        <v>0</v>
      </c>
      <c r="V103" s="523">
        <f t="shared" si="17"/>
        <v>0</v>
      </c>
      <c r="W103" s="523">
        <f t="shared" si="17"/>
        <v>0</v>
      </c>
      <c r="X103" s="523">
        <f t="shared" si="17"/>
        <v>0</v>
      </c>
      <c r="Y103" s="523">
        <f t="shared" si="17"/>
        <v>0</v>
      </c>
      <c r="Z103" s="523">
        <f t="shared" si="17"/>
        <v>0</v>
      </c>
      <c r="AA103" s="523">
        <f t="shared" si="18"/>
        <v>0</v>
      </c>
      <c r="AB103" s="523">
        <f t="shared" si="18"/>
        <v>0</v>
      </c>
      <c r="AC103" s="523">
        <f t="shared" si="18"/>
        <v>0</v>
      </c>
      <c r="AD103" s="523">
        <f t="shared" si="18"/>
        <v>0</v>
      </c>
      <c r="AE103" s="523">
        <f t="shared" si="18"/>
        <v>0</v>
      </c>
      <c r="AF103" s="523">
        <f t="shared" si="19"/>
        <v>0</v>
      </c>
      <c r="AG103" s="523">
        <f t="shared" si="19"/>
        <v>0</v>
      </c>
      <c r="AH103" s="523">
        <f t="shared" si="19"/>
        <v>0</v>
      </c>
      <c r="AI103" s="523">
        <f t="shared" si="19"/>
        <v>0</v>
      </c>
      <c r="AJ103" s="523">
        <f t="shared" si="19"/>
        <v>0</v>
      </c>
      <c r="AK103" s="523">
        <f t="shared" si="19"/>
        <v>0</v>
      </c>
      <c r="AL103" s="523">
        <f t="shared" si="19"/>
        <v>0</v>
      </c>
      <c r="AM103" s="523">
        <f t="shared" si="19"/>
        <v>0</v>
      </c>
      <c r="AN103" s="523">
        <f t="shared" si="19"/>
        <v>0</v>
      </c>
      <c r="AO103" s="523">
        <f t="shared" si="19"/>
        <v>0</v>
      </c>
      <c r="AP103" s="523">
        <f t="shared" si="19"/>
        <v>0</v>
      </c>
      <c r="AQ103" s="523">
        <f t="shared" si="19"/>
        <v>0</v>
      </c>
      <c r="AR103" s="523">
        <f t="shared" si="19"/>
        <v>0</v>
      </c>
      <c r="AS103" s="523">
        <f t="shared" si="19"/>
        <v>0</v>
      </c>
      <c r="AT103" s="523">
        <f t="shared" si="19"/>
        <v>0</v>
      </c>
      <c r="AU103" s="523">
        <f t="shared" si="19"/>
        <v>0</v>
      </c>
      <c r="AV103" s="523">
        <f t="shared" si="20"/>
        <v>0</v>
      </c>
      <c r="AW103" s="523">
        <f t="shared" si="20"/>
        <v>0</v>
      </c>
      <c r="AX103" s="523">
        <f t="shared" si="20"/>
        <v>0</v>
      </c>
      <c r="AY103" s="523">
        <f t="shared" si="20"/>
        <v>0</v>
      </c>
      <c r="AZ103" s="523">
        <f t="shared" si="20"/>
        <v>0</v>
      </c>
      <c r="BA103" s="523">
        <f t="shared" si="20"/>
        <v>0</v>
      </c>
      <c r="BB103" s="523">
        <f t="shared" si="20"/>
        <v>0</v>
      </c>
      <c r="BC103" s="523">
        <f t="shared" si="20"/>
        <v>0</v>
      </c>
      <c r="BD103" s="523">
        <f t="shared" si="20"/>
        <v>0</v>
      </c>
      <c r="BE103" s="523">
        <f t="shared" si="20"/>
        <v>0</v>
      </c>
      <c r="BF103" s="523">
        <f t="shared" si="20"/>
        <v>0</v>
      </c>
      <c r="BG103" s="523">
        <f t="shared" si="20"/>
        <v>0</v>
      </c>
      <c r="BH103" s="525">
        <f t="shared" si="20"/>
        <v>0</v>
      </c>
    </row>
    <row r="104" spans="2:60" x14ac:dyDescent="0.25">
      <c r="B104" s="570"/>
      <c r="C104" s="574" t="e">
        <f t="shared" si="14"/>
        <v>#DIV/0!</v>
      </c>
      <c r="D104" s="580"/>
      <c r="E104" s="580"/>
      <c r="J104" s="524"/>
      <c r="K104" s="523">
        <f t="shared" si="17"/>
        <v>0</v>
      </c>
      <c r="L104" s="523">
        <f t="shared" si="17"/>
        <v>0</v>
      </c>
      <c r="M104" s="523">
        <f t="shared" si="17"/>
        <v>0</v>
      </c>
      <c r="N104" s="523">
        <f t="shared" si="17"/>
        <v>0</v>
      </c>
      <c r="O104" s="523">
        <f t="shared" si="17"/>
        <v>0</v>
      </c>
      <c r="P104" s="523">
        <f t="shared" si="17"/>
        <v>0</v>
      </c>
      <c r="Q104" s="523">
        <f t="shared" si="17"/>
        <v>0</v>
      </c>
      <c r="R104" s="523">
        <f t="shared" si="17"/>
        <v>0</v>
      </c>
      <c r="S104" s="523">
        <f t="shared" si="17"/>
        <v>0</v>
      </c>
      <c r="T104" s="523">
        <f t="shared" si="17"/>
        <v>0</v>
      </c>
      <c r="U104" s="523">
        <f t="shared" si="17"/>
        <v>0</v>
      </c>
      <c r="V104" s="523">
        <f t="shared" si="17"/>
        <v>0</v>
      </c>
      <c r="W104" s="523">
        <f t="shared" si="17"/>
        <v>0</v>
      </c>
      <c r="X104" s="523">
        <f t="shared" si="17"/>
        <v>0</v>
      </c>
      <c r="Y104" s="523">
        <f t="shared" si="17"/>
        <v>0</v>
      </c>
      <c r="Z104" s="523">
        <f t="shared" si="17"/>
        <v>0</v>
      </c>
      <c r="AA104" s="523">
        <f t="shared" si="18"/>
        <v>0</v>
      </c>
      <c r="AB104" s="523">
        <f t="shared" si="18"/>
        <v>0</v>
      </c>
      <c r="AC104" s="523">
        <f t="shared" si="18"/>
        <v>0</v>
      </c>
      <c r="AD104" s="523">
        <f t="shared" si="18"/>
        <v>0</v>
      </c>
      <c r="AE104" s="523">
        <f t="shared" si="18"/>
        <v>0</v>
      </c>
      <c r="AF104" s="523">
        <f t="shared" si="19"/>
        <v>0</v>
      </c>
      <c r="AG104" s="523">
        <f t="shared" si="19"/>
        <v>0</v>
      </c>
      <c r="AH104" s="523">
        <f t="shared" si="19"/>
        <v>0</v>
      </c>
      <c r="AI104" s="523">
        <f t="shared" si="19"/>
        <v>0</v>
      </c>
      <c r="AJ104" s="523">
        <f t="shared" si="19"/>
        <v>0</v>
      </c>
      <c r="AK104" s="523">
        <f t="shared" si="19"/>
        <v>0</v>
      </c>
      <c r="AL104" s="523">
        <f t="shared" si="19"/>
        <v>0</v>
      </c>
      <c r="AM104" s="523">
        <f t="shared" si="19"/>
        <v>0</v>
      </c>
      <c r="AN104" s="523">
        <f t="shared" si="19"/>
        <v>0</v>
      </c>
      <c r="AO104" s="523">
        <f t="shared" si="19"/>
        <v>0</v>
      </c>
      <c r="AP104" s="523">
        <f t="shared" si="19"/>
        <v>0</v>
      </c>
      <c r="AQ104" s="523">
        <f t="shared" si="19"/>
        <v>0</v>
      </c>
      <c r="AR104" s="523">
        <f t="shared" si="19"/>
        <v>0</v>
      </c>
      <c r="AS104" s="523">
        <f t="shared" si="19"/>
        <v>0</v>
      </c>
      <c r="AT104" s="523">
        <f t="shared" si="19"/>
        <v>0</v>
      </c>
      <c r="AU104" s="523">
        <f t="shared" si="19"/>
        <v>0</v>
      </c>
      <c r="AV104" s="523">
        <f t="shared" si="20"/>
        <v>0</v>
      </c>
      <c r="AW104" s="523">
        <f t="shared" si="20"/>
        <v>0</v>
      </c>
      <c r="AX104" s="523">
        <f t="shared" si="20"/>
        <v>0</v>
      </c>
      <c r="AY104" s="523">
        <f t="shared" si="20"/>
        <v>0</v>
      </c>
      <c r="AZ104" s="523">
        <f t="shared" si="20"/>
        <v>0</v>
      </c>
      <c r="BA104" s="523">
        <f t="shared" si="20"/>
        <v>0</v>
      </c>
      <c r="BB104" s="523">
        <f t="shared" si="20"/>
        <v>0</v>
      </c>
      <c r="BC104" s="523">
        <f t="shared" si="20"/>
        <v>0</v>
      </c>
      <c r="BD104" s="523">
        <f t="shared" si="20"/>
        <v>0</v>
      </c>
      <c r="BE104" s="523">
        <f t="shared" si="20"/>
        <v>0</v>
      </c>
      <c r="BF104" s="523">
        <f t="shared" si="20"/>
        <v>0</v>
      </c>
      <c r="BG104" s="523">
        <f t="shared" si="20"/>
        <v>0</v>
      </c>
      <c r="BH104" s="525">
        <f t="shared" si="20"/>
        <v>0</v>
      </c>
    </row>
    <row r="105" spans="2:60" x14ac:dyDescent="0.25">
      <c r="B105" s="570"/>
      <c r="C105" s="574" t="e">
        <f t="shared" si="14"/>
        <v>#DIV/0!</v>
      </c>
      <c r="D105" s="580"/>
      <c r="E105" s="580"/>
      <c r="J105" s="524"/>
      <c r="K105" s="523">
        <f t="shared" si="17"/>
        <v>0</v>
      </c>
      <c r="L105" s="523">
        <f t="shared" si="17"/>
        <v>0</v>
      </c>
      <c r="M105" s="523">
        <f t="shared" si="17"/>
        <v>0</v>
      </c>
      <c r="N105" s="523">
        <f t="shared" si="17"/>
        <v>0</v>
      </c>
      <c r="O105" s="523">
        <f t="shared" si="17"/>
        <v>0</v>
      </c>
      <c r="P105" s="523">
        <f t="shared" si="17"/>
        <v>0</v>
      </c>
      <c r="Q105" s="523">
        <f t="shared" si="17"/>
        <v>0</v>
      </c>
      <c r="R105" s="523">
        <f t="shared" si="17"/>
        <v>0</v>
      </c>
      <c r="S105" s="523">
        <f t="shared" si="17"/>
        <v>0</v>
      </c>
      <c r="T105" s="523">
        <f t="shared" si="17"/>
        <v>0</v>
      </c>
      <c r="U105" s="523">
        <f t="shared" si="17"/>
        <v>0</v>
      </c>
      <c r="V105" s="523">
        <f t="shared" si="17"/>
        <v>0</v>
      </c>
      <c r="W105" s="523">
        <f t="shared" si="17"/>
        <v>0</v>
      </c>
      <c r="X105" s="523">
        <f t="shared" si="17"/>
        <v>0</v>
      </c>
      <c r="Y105" s="523">
        <f t="shared" si="17"/>
        <v>0</v>
      </c>
      <c r="Z105" s="523">
        <f t="shared" si="17"/>
        <v>0</v>
      </c>
      <c r="AA105" s="523">
        <f t="shared" si="18"/>
        <v>0</v>
      </c>
      <c r="AB105" s="523">
        <f t="shared" si="18"/>
        <v>0</v>
      </c>
      <c r="AC105" s="523">
        <f t="shared" si="18"/>
        <v>0</v>
      </c>
      <c r="AD105" s="523">
        <f t="shared" si="18"/>
        <v>0</v>
      </c>
      <c r="AE105" s="523">
        <f t="shared" si="18"/>
        <v>0</v>
      </c>
      <c r="AF105" s="523">
        <f t="shared" si="19"/>
        <v>0</v>
      </c>
      <c r="AG105" s="523">
        <f t="shared" si="19"/>
        <v>0</v>
      </c>
      <c r="AH105" s="523">
        <f t="shared" si="19"/>
        <v>0</v>
      </c>
      <c r="AI105" s="523">
        <f t="shared" si="19"/>
        <v>0</v>
      </c>
      <c r="AJ105" s="523">
        <f t="shared" si="19"/>
        <v>0</v>
      </c>
      <c r="AK105" s="523">
        <f t="shared" si="19"/>
        <v>0</v>
      </c>
      <c r="AL105" s="523">
        <f t="shared" si="19"/>
        <v>0</v>
      </c>
      <c r="AM105" s="523">
        <f t="shared" si="19"/>
        <v>0</v>
      </c>
      <c r="AN105" s="523">
        <f t="shared" si="19"/>
        <v>0</v>
      </c>
      <c r="AO105" s="523">
        <f t="shared" si="19"/>
        <v>0</v>
      </c>
      <c r="AP105" s="523">
        <f t="shared" si="19"/>
        <v>0</v>
      </c>
      <c r="AQ105" s="523">
        <f t="shared" si="19"/>
        <v>0</v>
      </c>
      <c r="AR105" s="523">
        <f t="shared" si="19"/>
        <v>0</v>
      </c>
      <c r="AS105" s="523">
        <f t="shared" si="19"/>
        <v>0</v>
      </c>
      <c r="AT105" s="523">
        <f t="shared" si="19"/>
        <v>0</v>
      </c>
      <c r="AU105" s="523">
        <f t="shared" si="19"/>
        <v>0</v>
      </c>
      <c r="AV105" s="523">
        <f t="shared" si="20"/>
        <v>0</v>
      </c>
      <c r="AW105" s="523">
        <f t="shared" si="20"/>
        <v>0</v>
      </c>
      <c r="AX105" s="523">
        <f t="shared" si="20"/>
        <v>0</v>
      </c>
      <c r="AY105" s="523">
        <f t="shared" si="20"/>
        <v>0</v>
      </c>
      <c r="AZ105" s="523">
        <f t="shared" si="20"/>
        <v>0</v>
      </c>
      <c r="BA105" s="523">
        <f t="shared" si="20"/>
        <v>0</v>
      </c>
      <c r="BB105" s="523">
        <f t="shared" si="20"/>
        <v>0</v>
      </c>
      <c r="BC105" s="523">
        <f t="shared" si="20"/>
        <v>0</v>
      </c>
      <c r="BD105" s="523">
        <f t="shared" si="20"/>
        <v>0</v>
      </c>
      <c r="BE105" s="523">
        <f t="shared" si="20"/>
        <v>0</v>
      </c>
      <c r="BF105" s="523">
        <f t="shared" si="20"/>
        <v>0</v>
      </c>
      <c r="BG105" s="523">
        <f t="shared" si="20"/>
        <v>0</v>
      </c>
      <c r="BH105" s="525">
        <f t="shared" si="20"/>
        <v>0</v>
      </c>
    </row>
    <row r="106" spans="2:60" x14ac:dyDescent="0.25">
      <c r="B106" s="570"/>
      <c r="C106" s="574" t="e">
        <f t="shared" si="14"/>
        <v>#DIV/0!</v>
      </c>
      <c r="D106" s="580"/>
      <c r="E106" s="580"/>
      <c r="J106" s="524"/>
      <c r="K106" s="523">
        <f t="shared" si="17"/>
        <v>0</v>
      </c>
      <c r="L106" s="523">
        <f t="shared" si="17"/>
        <v>0</v>
      </c>
      <c r="M106" s="523">
        <f t="shared" si="17"/>
        <v>0</v>
      </c>
      <c r="N106" s="523">
        <f t="shared" si="17"/>
        <v>0</v>
      </c>
      <c r="O106" s="523">
        <f t="shared" si="17"/>
        <v>0</v>
      </c>
      <c r="P106" s="523">
        <f t="shared" si="17"/>
        <v>0</v>
      </c>
      <c r="Q106" s="523">
        <f t="shared" si="17"/>
        <v>0</v>
      </c>
      <c r="R106" s="523">
        <f t="shared" si="17"/>
        <v>0</v>
      </c>
      <c r="S106" s="523">
        <f t="shared" si="17"/>
        <v>0</v>
      </c>
      <c r="T106" s="523">
        <f t="shared" si="17"/>
        <v>0</v>
      </c>
      <c r="U106" s="523">
        <f t="shared" si="17"/>
        <v>0</v>
      </c>
      <c r="V106" s="523">
        <f t="shared" si="17"/>
        <v>0</v>
      </c>
      <c r="W106" s="523">
        <f t="shared" si="17"/>
        <v>0</v>
      </c>
      <c r="X106" s="523">
        <f t="shared" ref="X106:Z106" si="21">IF($E106=X$81,$D106,0)</f>
        <v>0</v>
      </c>
      <c r="Y106" s="523">
        <f t="shared" si="21"/>
        <v>0</v>
      </c>
      <c r="Z106" s="523">
        <f t="shared" si="21"/>
        <v>0</v>
      </c>
      <c r="AA106" s="523">
        <f t="shared" si="18"/>
        <v>0</v>
      </c>
      <c r="AB106" s="523">
        <f t="shared" si="18"/>
        <v>0</v>
      </c>
      <c r="AC106" s="523">
        <f t="shared" si="18"/>
        <v>0</v>
      </c>
      <c r="AD106" s="523">
        <f t="shared" si="18"/>
        <v>0</v>
      </c>
      <c r="AE106" s="523">
        <f t="shared" si="18"/>
        <v>0</v>
      </c>
      <c r="AF106" s="523">
        <f t="shared" si="19"/>
        <v>0</v>
      </c>
      <c r="AG106" s="523">
        <f t="shared" si="19"/>
        <v>0</v>
      </c>
      <c r="AH106" s="523">
        <f t="shared" si="19"/>
        <v>0</v>
      </c>
      <c r="AI106" s="523">
        <f t="shared" si="19"/>
        <v>0</v>
      </c>
      <c r="AJ106" s="523">
        <f t="shared" si="19"/>
        <v>0</v>
      </c>
      <c r="AK106" s="523">
        <f t="shared" si="19"/>
        <v>0</v>
      </c>
      <c r="AL106" s="523">
        <f t="shared" si="19"/>
        <v>0</v>
      </c>
      <c r="AM106" s="523">
        <f t="shared" si="19"/>
        <v>0</v>
      </c>
      <c r="AN106" s="523">
        <f t="shared" si="19"/>
        <v>0</v>
      </c>
      <c r="AO106" s="523">
        <f t="shared" si="19"/>
        <v>0</v>
      </c>
      <c r="AP106" s="523">
        <f t="shared" si="19"/>
        <v>0</v>
      </c>
      <c r="AQ106" s="523">
        <f t="shared" si="19"/>
        <v>0</v>
      </c>
      <c r="AR106" s="523">
        <f t="shared" si="19"/>
        <v>0</v>
      </c>
      <c r="AS106" s="523">
        <f t="shared" si="19"/>
        <v>0</v>
      </c>
      <c r="AT106" s="523">
        <f t="shared" si="19"/>
        <v>0</v>
      </c>
      <c r="AU106" s="523">
        <f t="shared" si="19"/>
        <v>0</v>
      </c>
      <c r="AV106" s="523">
        <f t="shared" si="20"/>
        <v>0</v>
      </c>
      <c r="AW106" s="523">
        <f t="shared" si="20"/>
        <v>0</v>
      </c>
      <c r="AX106" s="523">
        <f t="shared" si="20"/>
        <v>0</v>
      </c>
      <c r="AY106" s="523">
        <f t="shared" si="20"/>
        <v>0</v>
      </c>
      <c r="AZ106" s="523">
        <f t="shared" si="20"/>
        <v>0</v>
      </c>
      <c r="BA106" s="523">
        <f t="shared" si="20"/>
        <v>0</v>
      </c>
      <c r="BB106" s="523">
        <f t="shared" si="20"/>
        <v>0</v>
      </c>
      <c r="BC106" s="523">
        <f t="shared" si="20"/>
        <v>0</v>
      </c>
      <c r="BD106" s="523">
        <f t="shared" si="20"/>
        <v>0</v>
      </c>
      <c r="BE106" s="523">
        <f t="shared" si="20"/>
        <v>0</v>
      </c>
      <c r="BF106" s="523">
        <f t="shared" si="20"/>
        <v>0</v>
      </c>
      <c r="BG106" s="523">
        <f t="shared" si="20"/>
        <v>0</v>
      </c>
      <c r="BH106" s="525">
        <f t="shared" si="20"/>
        <v>0</v>
      </c>
    </row>
    <row r="107" spans="2:60" x14ac:dyDescent="0.25">
      <c r="B107" s="570"/>
      <c r="C107" s="574" t="e">
        <f t="shared" si="14"/>
        <v>#DIV/0!</v>
      </c>
      <c r="D107" s="580"/>
      <c r="E107" s="580"/>
      <c r="J107" s="524"/>
      <c r="K107" s="523">
        <f t="shared" ref="K107:Z111" si="22">IF($E107=K$81,$D107,0)</f>
        <v>0</v>
      </c>
      <c r="L107" s="523">
        <f t="shared" si="22"/>
        <v>0</v>
      </c>
      <c r="M107" s="523">
        <f t="shared" si="22"/>
        <v>0</v>
      </c>
      <c r="N107" s="523">
        <f t="shared" si="22"/>
        <v>0</v>
      </c>
      <c r="O107" s="523">
        <f t="shared" si="22"/>
        <v>0</v>
      </c>
      <c r="P107" s="523">
        <f t="shared" si="22"/>
        <v>0</v>
      </c>
      <c r="Q107" s="523">
        <f t="shared" si="22"/>
        <v>0</v>
      </c>
      <c r="R107" s="523">
        <f t="shared" si="22"/>
        <v>0</v>
      </c>
      <c r="S107" s="523">
        <f t="shared" si="22"/>
        <v>0</v>
      </c>
      <c r="T107" s="523">
        <f t="shared" si="22"/>
        <v>0</v>
      </c>
      <c r="U107" s="523">
        <f t="shared" si="22"/>
        <v>0</v>
      </c>
      <c r="V107" s="523">
        <f t="shared" si="22"/>
        <v>0</v>
      </c>
      <c r="W107" s="523">
        <f t="shared" si="22"/>
        <v>0</v>
      </c>
      <c r="X107" s="523">
        <f t="shared" si="22"/>
        <v>0</v>
      </c>
      <c r="Y107" s="523">
        <f t="shared" si="22"/>
        <v>0</v>
      </c>
      <c r="Z107" s="523">
        <f t="shared" si="22"/>
        <v>0</v>
      </c>
      <c r="AA107" s="523">
        <f t="shared" si="18"/>
        <v>0</v>
      </c>
      <c r="AB107" s="523">
        <f t="shared" si="18"/>
        <v>0</v>
      </c>
      <c r="AC107" s="523">
        <f t="shared" si="18"/>
        <v>0</v>
      </c>
      <c r="AD107" s="523">
        <f t="shared" si="18"/>
        <v>0</v>
      </c>
      <c r="AE107" s="523">
        <f t="shared" si="18"/>
        <v>0</v>
      </c>
      <c r="AF107" s="523">
        <f t="shared" si="19"/>
        <v>0</v>
      </c>
      <c r="AG107" s="523">
        <f t="shared" si="19"/>
        <v>0</v>
      </c>
      <c r="AH107" s="523">
        <f t="shared" si="19"/>
        <v>0</v>
      </c>
      <c r="AI107" s="523">
        <f t="shared" si="19"/>
        <v>0</v>
      </c>
      <c r="AJ107" s="523">
        <f t="shared" si="19"/>
        <v>0</v>
      </c>
      <c r="AK107" s="523">
        <f t="shared" si="19"/>
        <v>0</v>
      </c>
      <c r="AL107" s="523">
        <f t="shared" si="19"/>
        <v>0</v>
      </c>
      <c r="AM107" s="523">
        <f t="shared" si="19"/>
        <v>0</v>
      </c>
      <c r="AN107" s="523">
        <f t="shared" si="19"/>
        <v>0</v>
      </c>
      <c r="AO107" s="523">
        <f t="shared" si="19"/>
        <v>0</v>
      </c>
      <c r="AP107" s="523">
        <f t="shared" si="19"/>
        <v>0</v>
      </c>
      <c r="AQ107" s="523">
        <f t="shared" si="19"/>
        <v>0</v>
      </c>
      <c r="AR107" s="523">
        <f t="shared" si="19"/>
        <v>0</v>
      </c>
      <c r="AS107" s="523">
        <f t="shared" si="19"/>
        <v>0</v>
      </c>
      <c r="AT107" s="523">
        <f t="shared" si="19"/>
        <v>0</v>
      </c>
      <c r="AU107" s="523">
        <f t="shared" si="19"/>
        <v>0</v>
      </c>
      <c r="AV107" s="523">
        <f t="shared" si="20"/>
        <v>0</v>
      </c>
      <c r="AW107" s="523">
        <f t="shared" si="20"/>
        <v>0</v>
      </c>
      <c r="AX107" s="523">
        <f t="shared" si="20"/>
        <v>0</v>
      </c>
      <c r="AY107" s="523">
        <f t="shared" si="20"/>
        <v>0</v>
      </c>
      <c r="AZ107" s="523">
        <f t="shared" si="20"/>
        <v>0</v>
      </c>
      <c r="BA107" s="523">
        <f t="shared" si="20"/>
        <v>0</v>
      </c>
      <c r="BB107" s="523">
        <f t="shared" si="20"/>
        <v>0</v>
      </c>
      <c r="BC107" s="523">
        <f t="shared" si="20"/>
        <v>0</v>
      </c>
      <c r="BD107" s="523">
        <f t="shared" si="20"/>
        <v>0</v>
      </c>
      <c r="BE107" s="523">
        <f t="shared" si="20"/>
        <v>0</v>
      </c>
      <c r="BF107" s="523">
        <f t="shared" si="20"/>
        <v>0</v>
      </c>
      <c r="BG107" s="523">
        <f t="shared" si="20"/>
        <v>0</v>
      </c>
      <c r="BH107" s="525">
        <f t="shared" si="20"/>
        <v>0</v>
      </c>
    </row>
    <row r="108" spans="2:60" x14ac:dyDescent="0.25">
      <c r="B108" s="570"/>
      <c r="C108" s="574" t="e">
        <f t="shared" si="14"/>
        <v>#DIV/0!</v>
      </c>
      <c r="D108" s="580"/>
      <c r="E108" s="580"/>
      <c r="J108" s="524"/>
      <c r="K108" s="523">
        <f t="shared" si="22"/>
        <v>0</v>
      </c>
      <c r="L108" s="523">
        <f t="shared" si="22"/>
        <v>0</v>
      </c>
      <c r="M108" s="523">
        <f t="shared" si="22"/>
        <v>0</v>
      </c>
      <c r="N108" s="523">
        <f t="shared" si="22"/>
        <v>0</v>
      </c>
      <c r="O108" s="523">
        <f t="shared" si="22"/>
        <v>0</v>
      </c>
      <c r="P108" s="523">
        <f t="shared" si="22"/>
        <v>0</v>
      </c>
      <c r="Q108" s="523">
        <f t="shared" si="22"/>
        <v>0</v>
      </c>
      <c r="R108" s="523">
        <f t="shared" si="22"/>
        <v>0</v>
      </c>
      <c r="S108" s="523">
        <f t="shared" si="22"/>
        <v>0</v>
      </c>
      <c r="T108" s="523">
        <f t="shared" si="22"/>
        <v>0</v>
      </c>
      <c r="U108" s="523">
        <f t="shared" si="22"/>
        <v>0</v>
      </c>
      <c r="V108" s="523">
        <f t="shared" si="22"/>
        <v>0</v>
      </c>
      <c r="W108" s="523">
        <f t="shared" si="22"/>
        <v>0</v>
      </c>
      <c r="X108" s="523">
        <f t="shared" si="22"/>
        <v>0</v>
      </c>
      <c r="Y108" s="523">
        <f t="shared" si="22"/>
        <v>0</v>
      </c>
      <c r="Z108" s="523">
        <f t="shared" si="22"/>
        <v>0</v>
      </c>
      <c r="AA108" s="523">
        <f t="shared" si="18"/>
        <v>0</v>
      </c>
      <c r="AB108" s="523">
        <f t="shared" si="18"/>
        <v>0</v>
      </c>
      <c r="AC108" s="523">
        <f t="shared" si="18"/>
        <v>0</v>
      </c>
      <c r="AD108" s="523">
        <f t="shared" si="18"/>
        <v>0</v>
      </c>
      <c r="AE108" s="523">
        <f t="shared" si="18"/>
        <v>0</v>
      </c>
      <c r="AF108" s="523">
        <f t="shared" si="19"/>
        <v>0</v>
      </c>
      <c r="AG108" s="523">
        <f t="shared" si="19"/>
        <v>0</v>
      </c>
      <c r="AH108" s="523">
        <f t="shared" si="19"/>
        <v>0</v>
      </c>
      <c r="AI108" s="523">
        <f t="shared" si="19"/>
        <v>0</v>
      </c>
      <c r="AJ108" s="523">
        <f t="shared" si="19"/>
        <v>0</v>
      </c>
      <c r="AK108" s="523">
        <f t="shared" si="19"/>
        <v>0</v>
      </c>
      <c r="AL108" s="523">
        <f t="shared" si="19"/>
        <v>0</v>
      </c>
      <c r="AM108" s="523">
        <f t="shared" si="19"/>
        <v>0</v>
      </c>
      <c r="AN108" s="523">
        <f t="shared" si="19"/>
        <v>0</v>
      </c>
      <c r="AO108" s="523">
        <f t="shared" si="19"/>
        <v>0</v>
      </c>
      <c r="AP108" s="523">
        <f t="shared" si="19"/>
        <v>0</v>
      </c>
      <c r="AQ108" s="523">
        <f t="shared" ref="AQ108:BH111" si="23">IF($E108=AQ$81,$D108,0)</f>
        <v>0</v>
      </c>
      <c r="AR108" s="523">
        <f t="shared" si="23"/>
        <v>0</v>
      </c>
      <c r="AS108" s="523">
        <f t="shared" si="23"/>
        <v>0</v>
      </c>
      <c r="AT108" s="523">
        <f t="shared" si="23"/>
        <v>0</v>
      </c>
      <c r="AU108" s="523">
        <f t="shared" si="23"/>
        <v>0</v>
      </c>
      <c r="AV108" s="523">
        <f t="shared" si="23"/>
        <v>0</v>
      </c>
      <c r="AW108" s="523">
        <f t="shared" si="23"/>
        <v>0</v>
      </c>
      <c r="AX108" s="523">
        <f t="shared" si="23"/>
        <v>0</v>
      </c>
      <c r="AY108" s="523">
        <f t="shared" si="23"/>
        <v>0</v>
      </c>
      <c r="AZ108" s="523">
        <f t="shared" si="23"/>
        <v>0</v>
      </c>
      <c r="BA108" s="523">
        <f t="shared" si="23"/>
        <v>0</v>
      </c>
      <c r="BB108" s="523">
        <f t="shared" si="23"/>
        <v>0</v>
      </c>
      <c r="BC108" s="523">
        <f t="shared" si="23"/>
        <v>0</v>
      </c>
      <c r="BD108" s="523">
        <f t="shared" si="23"/>
        <v>0</v>
      </c>
      <c r="BE108" s="523">
        <f t="shared" si="23"/>
        <v>0</v>
      </c>
      <c r="BF108" s="523">
        <f t="shared" si="23"/>
        <v>0</v>
      </c>
      <c r="BG108" s="523">
        <f t="shared" si="23"/>
        <v>0</v>
      </c>
      <c r="BH108" s="525">
        <f t="shared" si="23"/>
        <v>0</v>
      </c>
    </row>
    <row r="109" spans="2:60" x14ac:dyDescent="0.25">
      <c r="B109" s="570"/>
      <c r="C109" s="574" t="e">
        <f t="shared" si="14"/>
        <v>#DIV/0!</v>
      </c>
      <c r="D109" s="580"/>
      <c r="E109" s="580"/>
      <c r="J109" s="524"/>
      <c r="K109" s="523">
        <f t="shared" si="22"/>
        <v>0</v>
      </c>
      <c r="L109" s="523">
        <f t="shared" si="22"/>
        <v>0</v>
      </c>
      <c r="M109" s="523">
        <f t="shared" si="22"/>
        <v>0</v>
      </c>
      <c r="N109" s="523">
        <f t="shared" si="22"/>
        <v>0</v>
      </c>
      <c r="O109" s="523">
        <f t="shared" si="22"/>
        <v>0</v>
      </c>
      <c r="P109" s="523">
        <f t="shared" si="22"/>
        <v>0</v>
      </c>
      <c r="Q109" s="523">
        <f t="shared" si="22"/>
        <v>0</v>
      </c>
      <c r="R109" s="523">
        <f t="shared" si="22"/>
        <v>0</v>
      </c>
      <c r="S109" s="523">
        <f t="shared" si="22"/>
        <v>0</v>
      </c>
      <c r="T109" s="523">
        <f t="shared" si="22"/>
        <v>0</v>
      </c>
      <c r="U109" s="523">
        <f t="shared" si="22"/>
        <v>0</v>
      </c>
      <c r="V109" s="523">
        <f t="shared" si="22"/>
        <v>0</v>
      </c>
      <c r="W109" s="523">
        <f t="shared" si="22"/>
        <v>0</v>
      </c>
      <c r="X109" s="523">
        <f t="shared" si="22"/>
        <v>0</v>
      </c>
      <c r="Y109" s="523">
        <f t="shared" si="22"/>
        <v>0</v>
      </c>
      <c r="Z109" s="523">
        <f t="shared" si="22"/>
        <v>0</v>
      </c>
      <c r="AA109" s="523">
        <f t="shared" si="18"/>
        <v>0</v>
      </c>
      <c r="AB109" s="523">
        <f t="shared" si="18"/>
        <v>0</v>
      </c>
      <c r="AC109" s="523">
        <f t="shared" si="18"/>
        <v>0</v>
      </c>
      <c r="AD109" s="523">
        <f t="shared" si="18"/>
        <v>0</v>
      </c>
      <c r="AE109" s="523">
        <f t="shared" si="18"/>
        <v>0</v>
      </c>
      <c r="AF109" s="523">
        <f t="shared" ref="AF109:AU111" si="24">IF($E109=AF$81,$D109,0)</f>
        <v>0</v>
      </c>
      <c r="AG109" s="523">
        <f t="shared" si="24"/>
        <v>0</v>
      </c>
      <c r="AH109" s="523">
        <f t="shared" si="24"/>
        <v>0</v>
      </c>
      <c r="AI109" s="523">
        <f t="shared" si="24"/>
        <v>0</v>
      </c>
      <c r="AJ109" s="523">
        <f t="shared" si="24"/>
        <v>0</v>
      </c>
      <c r="AK109" s="523">
        <f t="shared" si="24"/>
        <v>0</v>
      </c>
      <c r="AL109" s="523">
        <f t="shared" si="24"/>
        <v>0</v>
      </c>
      <c r="AM109" s="523">
        <f t="shared" si="24"/>
        <v>0</v>
      </c>
      <c r="AN109" s="523">
        <f t="shared" si="24"/>
        <v>0</v>
      </c>
      <c r="AO109" s="523">
        <f t="shared" si="24"/>
        <v>0</v>
      </c>
      <c r="AP109" s="523">
        <f t="shared" si="24"/>
        <v>0</v>
      </c>
      <c r="AQ109" s="523">
        <f t="shared" si="24"/>
        <v>0</v>
      </c>
      <c r="AR109" s="523">
        <f t="shared" si="24"/>
        <v>0</v>
      </c>
      <c r="AS109" s="523">
        <f t="shared" si="24"/>
        <v>0</v>
      </c>
      <c r="AT109" s="523">
        <f t="shared" si="24"/>
        <v>0</v>
      </c>
      <c r="AU109" s="523">
        <f t="shared" si="24"/>
        <v>0</v>
      </c>
      <c r="AV109" s="523">
        <f t="shared" si="23"/>
        <v>0</v>
      </c>
      <c r="AW109" s="523">
        <f t="shared" si="23"/>
        <v>0</v>
      </c>
      <c r="AX109" s="523">
        <f t="shared" si="23"/>
        <v>0</v>
      </c>
      <c r="AY109" s="523">
        <f t="shared" si="23"/>
        <v>0</v>
      </c>
      <c r="AZ109" s="523">
        <f t="shared" si="23"/>
        <v>0</v>
      </c>
      <c r="BA109" s="523">
        <f t="shared" si="23"/>
        <v>0</v>
      </c>
      <c r="BB109" s="523">
        <f t="shared" si="23"/>
        <v>0</v>
      </c>
      <c r="BC109" s="523">
        <f t="shared" si="23"/>
        <v>0</v>
      </c>
      <c r="BD109" s="523">
        <f t="shared" si="23"/>
        <v>0</v>
      </c>
      <c r="BE109" s="523">
        <f t="shared" si="23"/>
        <v>0</v>
      </c>
      <c r="BF109" s="523">
        <f t="shared" si="23"/>
        <v>0</v>
      </c>
      <c r="BG109" s="523">
        <f t="shared" si="23"/>
        <v>0</v>
      </c>
      <c r="BH109" s="525">
        <f t="shared" si="23"/>
        <v>0</v>
      </c>
    </row>
    <row r="110" spans="2:60" x14ac:dyDescent="0.25">
      <c r="B110" s="570"/>
      <c r="C110" s="574" t="e">
        <f t="shared" si="14"/>
        <v>#DIV/0!</v>
      </c>
      <c r="D110" s="580"/>
      <c r="E110" s="580"/>
      <c r="J110" s="524"/>
      <c r="K110" s="523">
        <f t="shared" si="22"/>
        <v>0</v>
      </c>
      <c r="L110" s="523">
        <f t="shared" si="22"/>
        <v>0</v>
      </c>
      <c r="M110" s="523">
        <f t="shared" si="22"/>
        <v>0</v>
      </c>
      <c r="N110" s="523">
        <f t="shared" si="22"/>
        <v>0</v>
      </c>
      <c r="O110" s="523">
        <f t="shared" si="22"/>
        <v>0</v>
      </c>
      <c r="P110" s="523">
        <f t="shared" si="22"/>
        <v>0</v>
      </c>
      <c r="Q110" s="523">
        <f t="shared" si="22"/>
        <v>0</v>
      </c>
      <c r="R110" s="523">
        <f t="shared" si="22"/>
        <v>0</v>
      </c>
      <c r="S110" s="523">
        <f t="shared" si="22"/>
        <v>0</v>
      </c>
      <c r="T110" s="523">
        <f t="shared" si="22"/>
        <v>0</v>
      </c>
      <c r="U110" s="523">
        <f t="shared" si="22"/>
        <v>0</v>
      </c>
      <c r="V110" s="523">
        <f t="shared" si="22"/>
        <v>0</v>
      </c>
      <c r="W110" s="523">
        <f t="shared" si="22"/>
        <v>0</v>
      </c>
      <c r="X110" s="523">
        <f t="shared" si="22"/>
        <v>0</v>
      </c>
      <c r="Y110" s="523">
        <f t="shared" si="22"/>
        <v>0</v>
      </c>
      <c r="Z110" s="523">
        <f t="shared" si="22"/>
        <v>0</v>
      </c>
      <c r="AA110" s="523">
        <f t="shared" si="18"/>
        <v>0</v>
      </c>
      <c r="AB110" s="523">
        <f t="shared" si="18"/>
        <v>0</v>
      </c>
      <c r="AC110" s="523">
        <f t="shared" si="18"/>
        <v>0</v>
      </c>
      <c r="AD110" s="523">
        <f t="shared" si="18"/>
        <v>0</v>
      </c>
      <c r="AE110" s="523">
        <f t="shared" si="18"/>
        <v>0</v>
      </c>
      <c r="AF110" s="523">
        <f t="shared" si="24"/>
        <v>0</v>
      </c>
      <c r="AG110" s="523">
        <f t="shared" si="24"/>
        <v>0</v>
      </c>
      <c r="AH110" s="523">
        <f t="shared" si="24"/>
        <v>0</v>
      </c>
      <c r="AI110" s="523">
        <f t="shared" si="24"/>
        <v>0</v>
      </c>
      <c r="AJ110" s="523">
        <f t="shared" si="24"/>
        <v>0</v>
      </c>
      <c r="AK110" s="523">
        <f t="shared" si="24"/>
        <v>0</v>
      </c>
      <c r="AL110" s="523">
        <f t="shared" si="24"/>
        <v>0</v>
      </c>
      <c r="AM110" s="523">
        <f t="shared" si="24"/>
        <v>0</v>
      </c>
      <c r="AN110" s="523">
        <f t="shared" si="24"/>
        <v>0</v>
      </c>
      <c r="AO110" s="523">
        <f t="shared" si="24"/>
        <v>0</v>
      </c>
      <c r="AP110" s="523">
        <f t="shared" si="24"/>
        <v>0</v>
      </c>
      <c r="AQ110" s="523">
        <f t="shared" si="24"/>
        <v>0</v>
      </c>
      <c r="AR110" s="523">
        <f t="shared" si="24"/>
        <v>0</v>
      </c>
      <c r="AS110" s="523">
        <f t="shared" si="24"/>
        <v>0</v>
      </c>
      <c r="AT110" s="523">
        <f t="shared" si="24"/>
        <v>0</v>
      </c>
      <c r="AU110" s="523">
        <f t="shared" si="24"/>
        <v>0</v>
      </c>
      <c r="AV110" s="523">
        <f t="shared" si="23"/>
        <v>0</v>
      </c>
      <c r="AW110" s="523">
        <f t="shared" si="23"/>
        <v>0</v>
      </c>
      <c r="AX110" s="523">
        <f t="shared" si="23"/>
        <v>0</v>
      </c>
      <c r="AY110" s="523">
        <f t="shared" si="23"/>
        <v>0</v>
      </c>
      <c r="AZ110" s="523">
        <f t="shared" si="23"/>
        <v>0</v>
      </c>
      <c r="BA110" s="523">
        <f t="shared" si="23"/>
        <v>0</v>
      </c>
      <c r="BB110" s="523">
        <f t="shared" si="23"/>
        <v>0</v>
      </c>
      <c r="BC110" s="523">
        <f t="shared" si="23"/>
        <v>0</v>
      </c>
      <c r="BD110" s="523">
        <f t="shared" si="23"/>
        <v>0</v>
      </c>
      <c r="BE110" s="523">
        <f t="shared" si="23"/>
        <v>0</v>
      </c>
      <c r="BF110" s="523">
        <f t="shared" si="23"/>
        <v>0</v>
      </c>
      <c r="BG110" s="523">
        <f t="shared" si="23"/>
        <v>0</v>
      </c>
      <c r="BH110" s="525">
        <f t="shared" si="23"/>
        <v>0</v>
      </c>
    </row>
    <row r="111" spans="2:60" x14ac:dyDescent="0.25">
      <c r="B111" s="571"/>
      <c r="C111" s="576" t="e">
        <f t="shared" si="14"/>
        <v>#DIV/0!</v>
      </c>
      <c r="D111" s="581"/>
      <c r="E111" s="581"/>
      <c r="J111" s="527"/>
      <c r="K111" s="523">
        <f t="shared" si="22"/>
        <v>0</v>
      </c>
      <c r="L111" s="523">
        <f t="shared" si="22"/>
        <v>0</v>
      </c>
      <c r="M111" s="523">
        <f t="shared" si="22"/>
        <v>0</v>
      </c>
      <c r="N111" s="523">
        <f t="shared" si="22"/>
        <v>0</v>
      </c>
      <c r="O111" s="523">
        <f t="shared" si="22"/>
        <v>0</v>
      </c>
      <c r="P111" s="523">
        <f t="shared" si="22"/>
        <v>0</v>
      </c>
      <c r="Q111" s="523">
        <f t="shared" si="22"/>
        <v>0</v>
      </c>
      <c r="R111" s="523">
        <f t="shared" si="22"/>
        <v>0</v>
      </c>
      <c r="S111" s="523">
        <f t="shared" si="22"/>
        <v>0</v>
      </c>
      <c r="T111" s="523">
        <f t="shared" si="22"/>
        <v>0</v>
      </c>
      <c r="U111" s="523">
        <f t="shared" si="22"/>
        <v>0</v>
      </c>
      <c r="V111" s="523">
        <f t="shared" si="22"/>
        <v>0</v>
      </c>
      <c r="W111" s="523">
        <f t="shared" si="22"/>
        <v>0</v>
      </c>
      <c r="X111" s="523">
        <f t="shared" si="22"/>
        <v>0</v>
      </c>
      <c r="Y111" s="523">
        <f t="shared" si="22"/>
        <v>0</v>
      </c>
      <c r="Z111" s="523">
        <f t="shared" si="22"/>
        <v>0</v>
      </c>
      <c r="AA111" s="523">
        <f t="shared" si="18"/>
        <v>0</v>
      </c>
      <c r="AB111" s="523">
        <f t="shared" si="18"/>
        <v>0</v>
      </c>
      <c r="AC111" s="523">
        <f t="shared" si="18"/>
        <v>0</v>
      </c>
      <c r="AD111" s="523">
        <f t="shared" si="18"/>
        <v>0</v>
      </c>
      <c r="AE111" s="523">
        <f t="shared" si="18"/>
        <v>0</v>
      </c>
      <c r="AF111" s="523">
        <f t="shared" si="24"/>
        <v>0</v>
      </c>
      <c r="AG111" s="523">
        <f t="shared" si="24"/>
        <v>0</v>
      </c>
      <c r="AH111" s="523">
        <f t="shared" si="24"/>
        <v>0</v>
      </c>
      <c r="AI111" s="523">
        <f t="shared" si="24"/>
        <v>0</v>
      </c>
      <c r="AJ111" s="523">
        <f t="shared" si="24"/>
        <v>0</v>
      </c>
      <c r="AK111" s="523">
        <f t="shared" si="24"/>
        <v>0</v>
      </c>
      <c r="AL111" s="523">
        <f t="shared" si="24"/>
        <v>0</v>
      </c>
      <c r="AM111" s="523">
        <f t="shared" si="24"/>
        <v>0</v>
      </c>
      <c r="AN111" s="523">
        <f t="shared" si="24"/>
        <v>0</v>
      </c>
      <c r="AO111" s="523">
        <f t="shared" si="24"/>
        <v>0</v>
      </c>
      <c r="AP111" s="523">
        <f t="shared" si="24"/>
        <v>0</v>
      </c>
      <c r="AQ111" s="523">
        <f t="shared" si="24"/>
        <v>0</v>
      </c>
      <c r="AR111" s="523">
        <f t="shared" si="24"/>
        <v>0</v>
      </c>
      <c r="AS111" s="523">
        <f t="shared" si="24"/>
        <v>0</v>
      </c>
      <c r="AT111" s="523">
        <f t="shared" si="24"/>
        <v>0</v>
      </c>
      <c r="AU111" s="523">
        <f t="shared" si="24"/>
        <v>0</v>
      </c>
      <c r="AV111" s="523">
        <f t="shared" si="23"/>
        <v>0</v>
      </c>
      <c r="AW111" s="523">
        <f t="shared" si="23"/>
        <v>0</v>
      </c>
      <c r="AX111" s="523">
        <f t="shared" si="23"/>
        <v>0</v>
      </c>
      <c r="AY111" s="523">
        <f t="shared" si="23"/>
        <v>0</v>
      </c>
      <c r="AZ111" s="523">
        <f t="shared" si="23"/>
        <v>0</v>
      </c>
      <c r="BA111" s="523">
        <f t="shared" si="23"/>
        <v>0</v>
      </c>
      <c r="BB111" s="523">
        <f t="shared" si="23"/>
        <v>0</v>
      </c>
      <c r="BC111" s="523">
        <f t="shared" si="23"/>
        <v>0</v>
      </c>
      <c r="BD111" s="523">
        <f t="shared" si="23"/>
        <v>0</v>
      </c>
      <c r="BE111" s="523">
        <f t="shared" si="23"/>
        <v>0</v>
      </c>
      <c r="BF111" s="523">
        <f t="shared" si="23"/>
        <v>0</v>
      </c>
      <c r="BG111" s="523">
        <f t="shared" si="23"/>
        <v>0</v>
      </c>
      <c r="BH111" s="525">
        <f t="shared" si="23"/>
        <v>0</v>
      </c>
    </row>
    <row r="112" spans="2:60" x14ac:dyDescent="0.25">
      <c r="B112" s="903" t="s">
        <v>1522</v>
      </c>
      <c r="C112" s="904"/>
      <c r="D112" s="904"/>
      <c r="E112" s="905"/>
      <c r="F112" s="542"/>
      <c r="G112" s="543"/>
      <c r="H112" s="544"/>
      <c r="J112" s="599">
        <f t="shared" ref="J112:AN112" si="25">SUM(J82:J111)</f>
        <v>0</v>
      </c>
      <c r="K112" s="599">
        <f>SUM(K82:K111)</f>
        <v>0</v>
      </c>
      <c r="L112" s="599">
        <f t="shared" si="25"/>
        <v>0</v>
      </c>
      <c r="M112" s="599">
        <f t="shared" si="25"/>
        <v>0</v>
      </c>
      <c r="N112" s="599">
        <f t="shared" si="25"/>
        <v>0</v>
      </c>
      <c r="O112" s="599">
        <f t="shared" si="25"/>
        <v>0</v>
      </c>
      <c r="P112" s="599">
        <f t="shared" si="25"/>
        <v>0</v>
      </c>
      <c r="Q112" s="599">
        <f t="shared" si="25"/>
        <v>0</v>
      </c>
      <c r="R112" s="599">
        <f t="shared" si="25"/>
        <v>0</v>
      </c>
      <c r="S112" s="599">
        <f t="shared" si="25"/>
        <v>0</v>
      </c>
      <c r="T112" s="599">
        <f t="shared" si="25"/>
        <v>0</v>
      </c>
      <c r="U112" s="599">
        <f t="shared" si="25"/>
        <v>0</v>
      </c>
      <c r="V112" s="599">
        <f t="shared" si="25"/>
        <v>0</v>
      </c>
      <c r="W112" s="599">
        <f t="shared" si="25"/>
        <v>0</v>
      </c>
      <c r="X112" s="599">
        <f t="shared" si="25"/>
        <v>0</v>
      </c>
      <c r="Y112" s="599">
        <f t="shared" si="25"/>
        <v>0</v>
      </c>
      <c r="Z112" s="599">
        <f t="shared" si="25"/>
        <v>0</v>
      </c>
      <c r="AA112" s="599">
        <f t="shared" si="25"/>
        <v>0</v>
      </c>
      <c r="AB112" s="599">
        <f t="shared" si="25"/>
        <v>0</v>
      </c>
      <c r="AC112" s="599">
        <f t="shared" si="25"/>
        <v>0</v>
      </c>
      <c r="AD112" s="599">
        <f t="shared" si="25"/>
        <v>0</v>
      </c>
      <c r="AE112" s="599">
        <f t="shared" si="25"/>
        <v>0</v>
      </c>
      <c r="AF112" s="599">
        <f t="shared" si="25"/>
        <v>0</v>
      </c>
      <c r="AG112" s="599">
        <f t="shared" si="25"/>
        <v>0</v>
      </c>
      <c r="AH112" s="599">
        <f t="shared" si="25"/>
        <v>0</v>
      </c>
      <c r="AI112" s="599">
        <f t="shared" si="25"/>
        <v>0</v>
      </c>
      <c r="AJ112" s="599">
        <f t="shared" si="25"/>
        <v>0</v>
      </c>
      <c r="AK112" s="599">
        <f t="shared" si="25"/>
        <v>0</v>
      </c>
      <c r="AL112" s="599">
        <f t="shared" si="25"/>
        <v>0</v>
      </c>
      <c r="AM112" s="599">
        <f t="shared" si="25"/>
        <v>0</v>
      </c>
      <c r="AN112" s="599">
        <f t="shared" si="25"/>
        <v>0</v>
      </c>
      <c r="AO112" s="599">
        <f t="shared" ref="AO112:BH112" si="26">SUM(AO82:AO111)</f>
        <v>0</v>
      </c>
      <c r="AP112" s="599">
        <f t="shared" si="26"/>
        <v>0</v>
      </c>
      <c r="AQ112" s="599">
        <f t="shared" si="26"/>
        <v>0</v>
      </c>
      <c r="AR112" s="599">
        <f t="shared" si="26"/>
        <v>0</v>
      </c>
      <c r="AS112" s="599">
        <f t="shared" si="26"/>
        <v>0</v>
      </c>
      <c r="AT112" s="599">
        <f t="shared" si="26"/>
        <v>0</v>
      </c>
      <c r="AU112" s="599">
        <f t="shared" si="26"/>
        <v>0</v>
      </c>
      <c r="AV112" s="599">
        <f t="shared" si="26"/>
        <v>0</v>
      </c>
      <c r="AW112" s="599">
        <f t="shared" si="26"/>
        <v>0</v>
      </c>
      <c r="AX112" s="599">
        <f t="shared" si="26"/>
        <v>0</v>
      </c>
      <c r="AY112" s="599">
        <f t="shared" si="26"/>
        <v>0</v>
      </c>
      <c r="AZ112" s="599">
        <f t="shared" si="26"/>
        <v>0</v>
      </c>
      <c r="BA112" s="599">
        <f t="shared" si="26"/>
        <v>0</v>
      </c>
      <c r="BB112" s="599">
        <f t="shared" si="26"/>
        <v>0</v>
      </c>
      <c r="BC112" s="599">
        <f t="shared" si="26"/>
        <v>0</v>
      </c>
      <c r="BD112" s="599">
        <f t="shared" si="26"/>
        <v>0</v>
      </c>
      <c r="BE112" s="599">
        <f t="shared" si="26"/>
        <v>0</v>
      </c>
      <c r="BF112" s="599">
        <f t="shared" si="26"/>
        <v>0</v>
      </c>
      <c r="BG112" s="599">
        <f t="shared" si="26"/>
        <v>0</v>
      </c>
      <c r="BH112" s="599">
        <f t="shared" si="26"/>
        <v>0</v>
      </c>
    </row>
    <row r="113" spans="2:60" ht="4.9000000000000004" customHeight="1" x14ac:dyDescent="0.25"/>
    <row r="115" spans="2:60" x14ac:dyDescent="0.25">
      <c r="B115" s="545" t="s">
        <v>1523</v>
      </c>
      <c r="C115" s="546"/>
      <c r="D115" s="546"/>
      <c r="E115" s="893"/>
      <c r="F115" s="892"/>
      <c r="G115" s="894" t="s">
        <v>1497</v>
      </c>
      <c r="H115" s="894"/>
      <c r="J115" s="519">
        <v>0</v>
      </c>
      <c r="K115" s="520">
        <v>1</v>
      </c>
      <c r="L115" s="520">
        <v>2</v>
      </c>
      <c r="M115" s="520">
        <v>3</v>
      </c>
      <c r="N115" s="520">
        <v>4</v>
      </c>
      <c r="O115" s="520">
        <v>5</v>
      </c>
      <c r="P115" s="520">
        <v>6</v>
      </c>
      <c r="Q115" s="520">
        <v>7</v>
      </c>
      <c r="R115" s="520">
        <v>8</v>
      </c>
      <c r="S115" s="520">
        <v>9</v>
      </c>
      <c r="T115" s="520">
        <v>10</v>
      </c>
      <c r="U115" s="520">
        <v>11</v>
      </c>
      <c r="V115" s="520">
        <v>12</v>
      </c>
      <c r="W115" s="520">
        <v>13</v>
      </c>
      <c r="X115" s="520">
        <v>14</v>
      </c>
      <c r="Y115" s="520">
        <v>15</v>
      </c>
      <c r="Z115" s="520">
        <v>16</v>
      </c>
      <c r="AA115" s="520">
        <v>17</v>
      </c>
      <c r="AB115" s="520">
        <v>18</v>
      </c>
      <c r="AC115" s="520">
        <v>19</v>
      </c>
      <c r="AD115" s="520">
        <v>20</v>
      </c>
      <c r="AE115" s="520">
        <v>21</v>
      </c>
      <c r="AF115" s="520">
        <v>22</v>
      </c>
      <c r="AG115" s="520">
        <v>23</v>
      </c>
      <c r="AH115" s="520">
        <v>24</v>
      </c>
      <c r="AI115" s="520">
        <v>25</v>
      </c>
      <c r="AJ115" s="520">
        <v>26</v>
      </c>
      <c r="AK115" s="520">
        <v>27</v>
      </c>
      <c r="AL115" s="520">
        <v>28</v>
      </c>
      <c r="AM115" s="520">
        <v>29</v>
      </c>
      <c r="AN115" s="520">
        <v>30</v>
      </c>
      <c r="AO115" s="520">
        <v>31</v>
      </c>
      <c r="AP115" s="520">
        <v>32</v>
      </c>
      <c r="AQ115" s="520">
        <v>33</v>
      </c>
      <c r="AR115" s="520">
        <v>34</v>
      </c>
      <c r="AS115" s="520">
        <v>35</v>
      </c>
      <c r="AT115" s="520">
        <v>36</v>
      </c>
      <c r="AU115" s="520">
        <v>37</v>
      </c>
      <c r="AV115" s="520">
        <v>38</v>
      </c>
      <c r="AW115" s="520">
        <v>39</v>
      </c>
      <c r="AX115" s="520">
        <v>40</v>
      </c>
      <c r="AY115" s="520">
        <v>41</v>
      </c>
      <c r="AZ115" s="520">
        <v>42</v>
      </c>
      <c r="BA115" s="520">
        <v>43</v>
      </c>
      <c r="BB115" s="520">
        <v>44</v>
      </c>
      <c r="BC115" s="520">
        <v>45</v>
      </c>
      <c r="BD115" s="520">
        <v>46</v>
      </c>
      <c r="BE115" s="520">
        <v>47</v>
      </c>
      <c r="BF115" s="520">
        <v>48</v>
      </c>
      <c r="BG115" s="520">
        <v>49</v>
      </c>
      <c r="BH115" s="520">
        <v>50</v>
      </c>
    </row>
    <row r="116" spans="2:60" x14ac:dyDescent="0.25">
      <c r="B116" s="547"/>
      <c r="C116" s="548" t="s">
        <v>1499</v>
      </c>
      <c r="D116" s="548" t="s">
        <v>7</v>
      </c>
      <c r="E116" s="891" t="s">
        <v>1524</v>
      </c>
      <c r="F116" s="892"/>
      <c r="G116" s="548" t="s">
        <v>1501</v>
      </c>
      <c r="H116" s="548" t="s">
        <v>1502</v>
      </c>
      <c r="J116" s="549"/>
      <c r="K116" s="516">
        <f>(1+K131)</f>
        <v>1</v>
      </c>
      <c r="L116" s="515">
        <f>(1+L131)</f>
        <v>1</v>
      </c>
      <c r="M116" s="515">
        <f>L116*(1+M131)</f>
        <v>1</v>
      </c>
      <c r="N116" s="515">
        <f t="shared" ref="N116:BH116" si="27">M116*(1+N131)</f>
        <v>1</v>
      </c>
      <c r="O116" s="515">
        <f t="shared" si="27"/>
        <v>1</v>
      </c>
      <c r="P116" s="515">
        <f t="shared" si="27"/>
        <v>1</v>
      </c>
      <c r="Q116" s="515">
        <f t="shared" si="27"/>
        <v>1</v>
      </c>
      <c r="R116" s="515">
        <f t="shared" si="27"/>
        <v>1</v>
      </c>
      <c r="S116" s="515">
        <f t="shared" si="27"/>
        <v>1</v>
      </c>
      <c r="T116" s="515">
        <f t="shared" si="27"/>
        <v>1</v>
      </c>
      <c r="U116" s="515">
        <f t="shared" si="27"/>
        <v>1</v>
      </c>
      <c r="V116" s="515">
        <f t="shared" si="27"/>
        <v>1</v>
      </c>
      <c r="W116" s="515">
        <f t="shared" si="27"/>
        <v>1</v>
      </c>
      <c r="X116" s="515">
        <f t="shared" si="27"/>
        <v>1</v>
      </c>
      <c r="Y116" s="515">
        <f t="shared" si="27"/>
        <v>1</v>
      </c>
      <c r="Z116" s="515">
        <f t="shared" si="27"/>
        <v>1</v>
      </c>
      <c r="AA116" s="515">
        <f t="shared" si="27"/>
        <v>1</v>
      </c>
      <c r="AB116" s="515">
        <f t="shared" si="27"/>
        <v>1</v>
      </c>
      <c r="AC116" s="515">
        <f t="shared" si="27"/>
        <v>1</v>
      </c>
      <c r="AD116" s="515">
        <f t="shared" si="27"/>
        <v>1</v>
      </c>
      <c r="AE116" s="515">
        <f t="shared" si="27"/>
        <v>1</v>
      </c>
      <c r="AF116" s="515">
        <f t="shared" si="27"/>
        <v>1</v>
      </c>
      <c r="AG116" s="515">
        <f t="shared" si="27"/>
        <v>1</v>
      </c>
      <c r="AH116" s="515">
        <f t="shared" si="27"/>
        <v>1</v>
      </c>
      <c r="AI116" s="515">
        <f t="shared" si="27"/>
        <v>1</v>
      </c>
      <c r="AJ116" s="515">
        <f t="shared" si="27"/>
        <v>1</v>
      </c>
      <c r="AK116" s="515">
        <f t="shared" si="27"/>
        <v>1</v>
      </c>
      <c r="AL116" s="515">
        <f t="shared" si="27"/>
        <v>1</v>
      </c>
      <c r="AM116" s="515">
        <f t="shared" si="27"/>
        <v>1</v>
      </c>
      <c r="AN116" s="515">
        <f t="shared" si="27"/>
        <v>1</v>
      </c>
      <c r="AO116" s="515">
        <f t="shared" si="27"/>
        <v>1</v>
      </c>
      <c r="AP116" s="515">
        <f t="shared" si="27"/>
        <v>1</v>
      </c>
      <c r="AQ116" s="515">
        <f t="shared" si="27"/>
        <v>1</v>
      </c>
      <c r="AR116" s="515">
        <f t="shared" si="27"/>
        <v>1</v>
      </c>
      <c r="AS116" s="515">
        <f t="shared" si="27"/>
        <v>1</v>
      </c>
      <c r="AT116" s="515">
        <f t="shared" si="27"/>
        <v>1</v>
      </c>
      <c r="AU116" s="515">
        <f t="shared" si="27"/>
        <v>1</v>
      </c>
      <c r="AV116" s="515">
        <f t="shared" si="27"/>
        <v>1</v>
      </c>
      <c r="AW116" s="515">
        <f t="shared" si="27"/>
        <v>1</v>
      </c>
      <c r="AX116" s="515">
        <f t="shared" si="27"/>
        <v>1</v>
      </c>
      <c r="AY116" s="515">
        <f t="shared" si="27"/>
        <v>1</v>
      </c>
      <c r="AZ116" s="515">
        <f t="shared" si="27"/>
        <v>1</v>
      </c>
      <c r="BA116" s="515">
        <f t="shared" si="27"/>
        <v>1</v>
      </c>
      <c r="BB116" s="515">
        <f t="shared" si="27"/>
        <v>1</v>
      </c>
      <c r="BC116" s="515">
        <f t="shared" si="27"/>
        <v>1</v>
      </c>
      <c r="BD116" s="515">
        <f t="shared" si="27"/>
        <v>1</v>
      </c>
      <c r="BE116" s="515">
        <f t="shared" si="27"/>
        <v>1</v>
      </c>
      <c r="BF116" s="515">
        <f t="shared" si="27"/>
        <v>1</v>
      </c>
      <c r="BG116" s="515">
        <f t="shared" si="27"/>
        <v>1</v>
      </c>
      <c r="BH116" s="515">
        <f t="shared" si="27"/>
        <v>1</v>
      </c>
    </row>
    <row r="117" spans="2:60" x14ac:dyDescent="0.25">
      <c r="B117" s="565">
        <f>'Sheet 1'!B16</f>
        <v>0</v>
      </c>
      <c r="C117" s="609">
        <f>'Sheet 1'!E16</f>
        <v>0</v>
      </c>
      <c r="D117" s="592" t="s">
        <v>21</v>
      </c>
      <c r="E117" s="610">
        <f>'Sheet 1'!G16</f>
        <v>0</v>
      </c>
      <c r="F117" s="521" t="s">
        <v>72</v>
      </c>
      <c r="G117" s="612"/>
      <c r="H117" s="612"/>
      <c r="J117" s="536"/>
      <c r="K117" s="523">
        <f t="shared" ref="K117:Z126" si="28">IF(K$115&gt;($G117-1),IF(K$115&lt;($H117+1),$C117*$E117,0),0)</f>
        <v>0</v>
      </c>
      <c r="L117" s="523">
        <f t="shared" si="28"/>
        <v>0</v>
      </c>
      <c r="M117" s="523">
        <f t="shared" si="28"/>
        <v>0</v>
      </c>
      <c r="N117" s="523">
        <f t="shared" si="28"/>
        <v>0</v>
      </c>
      <c r="O117" s="523">
        <f t="shared" si="28"/>
        <v>0</v>
      </c>
      <c r="P117" s="523">
        <f t="shared" si="28"/>
        <v>0</v>
      </c>
      <c r="Q117" s="523">
        <f t="shared" si="28"/>
        <v>0</v>
      </c>
      <c r="R117" s="523">
        <f t="shared" si="28"/>
        <v>0</v>
      </c>
      <c r="S117" s="523">
        <f t="shared" si="28"/>
        <v>0</v>
      </c>
      <c r="T117" s="523">
        <f t="shared" si="28"/>
        <v>0</v>
      </c>
      <c r="U117" s="523">
        <f t="shared" si="28"/>
        <v>0</v>
      </c>
      <c r="V117" s="523">
        <f t="shared" si="28"/>
        <v>0</v>
      </c>
      <c r="W117" s="523">
        <f t="shared" si="28"/>
        <v>0</v>
      </c>
      <c r="X117" s="523">
        <f t="shared" si="28"/>
        <v>0</v>
      </c>
      <c r="Y117" s="523">
        <f t="shared" si="28"/>
        <v>0</v>
      </c>
      <c r="Z117" s="523">
        <f t="shared" si="28"/>
        <v>0</v>
      </c>
      <c r="AA117" s="523">
        <f t="shared" ref="AA117:AP126" si="29">IF(AA$115&gt;($G117-1),IF(AA$115&lt;($H117+1),$C117*$E117,0),0)</f>
        <v>0</v>
      </c>
      <c r="AB117" s="523">
        <f t="shared" si="29"/>
        <v>0</v>
      </c>
      <c r="AC117" s="523">
        <f t="shared" si="29"/>
        <v>0</v>
      </c>
      <c r="AD117" s="523">
        <f t="shared" si="29"/>
        <v>0</v>
      </c>
      <c r="AE117" s="523">
        <f t="shared" si="29"/>
        <v>0</v>
      </c>
      <c r="AF117" s="523">
        <f t="shared" si="29"/>
        <v>0</v>
      </c>
      <c r="AG117" s="523">
        <f t="shared" si="29"/>
        <v>0</v>
      </c>
      <c r="AH117" s="523">
        <f t="shared" si="29"/>
        <v>0</v>
      </c>
      <c r="AI117" s="523">
        <f t="shared" si="29"/>
        <v>0</v>
      </c>
      <c r="AJ117" s="523">
        <f t="shared" si="29"/>
        <v>0</v>
      </c>
      <c r="AK117" s="523">
        <f t="shared" si="29"/>
        <v>0</v>
      </c>
      <c r="AL117" s="523">
        <f t="shared" si="29"/>
        <v>0</v>
      </c>
      <c r="AM117" s="523">
        <f t="shared" si="29"/>
        <v>0</v>
      </c>
      <c r="AN117" s="523">
        <f t="shared" si="29"/>
        <v>0</v>
      </c>
      <c r="AO117" s="523">
        <f t="shared" si="29"/>
        <v>0</v>
      </c>
      <c r="AP117" s="523">
        <f t="shared" si="29"/>
        <v>0</v>
      </c>
      <c r="AQ117" s="523">
        <f t="shared" ref="AQ117:BF126" si="30">IF(AQ$115&gt;($G117-1),IF(AQ$115&lt;($H117+1),$C117*$E117,0),0)</f>
        <v>0</v>
      </c>
      <c r="AR117" s="523">
        <f t="shared" si="30"/>
        <v>0</v>
      </c>
      <c r="AS117" s="523">
        <f t="shared" si="30"/>
        <v>0</v>
      </c>
      <c r="AT117" s="523">
        <f t="shared" si="30"/>
        <v>0</v>
      </c>
      <c r="AU117" s="523">
        <f t="shared" si="30"/>
        <v>0</v>
      </c>
      <c r="AV117" s="523">
        <f t="shared" si="30"/>
        <v>0</v>
      </c>
      <c r="AW117" s="523">
        <f t="shared" si="30"/>
        <v>0</v>
      </c>
      <c r="AX117" s="523">
        <f t="shared" si="30"/>
        <v>0</v>
      </c>
      <c r="AY117" s="523">
        <f t="shared" si="30"/>
        <v>0</v>
      </c>
      <c r="AZ117" s="523">
        <f t="shared" si="30"/>
        <v>0</v>
      </c>
      <c r="BA117" s="523">
        <f t="shared" si="30"/>
        <v>0</v>
      </c>
      <c r="BB117" s="523">
        <f t="shared" si="30"/>
        <v>0</v>
      </c>
      <c r="BC117" s="523">
        <f t="shared" si="30"/>
        <v>0</v>
      </c>
      <c r="BD117" s="523">
        <f t="shared" si="30"/>
        <v>0</v>
      </c>
      <c r="BE117" s="523">
        <f t="shared" si="30"/>
        <v>0</v>
      </c>
      <c r="BF117" s="523">
        <f t="shared" si="30"/>
        <v>0</v>
      </c>
      <c r="BG117" s="523">
        <f t="shared" ref="BG117:BH126" si="31">IF(BG$115&gt;($G117-1),IF(BG$115&lt;($H117+1),$C117*$E117,0),0)</f>
        <v>0</v>
      </c>
      <c r="BH117" s="525">
        <f t="shared" si="31"/>
        <v>0</v>
      </c>
    </row>
    <row r="118" spans="2:60" x14ac:dyDescent="0.25">
      <c r="B118" s="566">
        <f>'Sheet 1'!B17</f>
        <v>0</v>
      </c>
      <c r="C118" s="593">
        <f>'Sheet 1'!E17</f>
        <v>0</v>
      </c>
      <c r="D118" s="594" t="s">
        <v>21</v>
      </c>
      <c r="E118" s="611">
        <f>'Sheet 1'!G17</f>
        <v>0</v>
      </c>
      <c r="F118" s="524" t="s">
        <v>72</v>
      </c>
      <c r="G118" s="612"/>
      <c r="H118" s="612"/>
      <c r="J118" s="550"/>
      <c r="K118" s="523">
        <f t="shared" si="28"/>
        <v>0</v>
      </c>
      <c r="L118" s="523">
        <f t="shared" si="28"/>
        <v>0</v>
      </c>
      <c r="M118" s="523">
        <f t="shared" si="28"/>
        <v>0</v>
      </c>
      <c r="N118" s="523">
        <f t="shared" si="28"/>
        <v>0</v>
      </c>
      <c r="O118" s="523">
        <f t="shared" si="28"/>
        <v>0</v>
      </c>
      <c r="P118" s="523">
        <f t="shared" si="28"/>
        <v>0</v>
      </c>
      <c r="Q118" s="523">
        <f t="shared" si="28"/>
        <v>0</v>
      </c>
      <c r="R118" s="523">
        <f t="shared" si="28"/>
        <v>0</v>
      </c>
      <c r="S118" s="523">
        <f t="shared" si="28"/>
        <v>0</v>
      </c>
      <c r="T118" s="523">
        <f t="shared" si="28"/>
        <v>0</v>
      </c>
      <c r="U118" s="523">
        <f t="shared" si="28"/>
        <v>0</v>
      </c>
      <c r="V118" s="523">
        <f t="shared" si="28"/>
        <v>0</v>
      </c>
      <c r="W118" s="523">
        <f t="shared" si="28"/>
        <v>0</v>
      </c>
      <c r="X118" s="523">
        <f t="shared" si="28"/>
        <v>0</v>
      </c>
      <c r="Y118" s="523">
        <f t="shared" si="28"/>
        <v>0</v>
      </c>
      <c r="Z118" s="523">
        <f t="shared" si="28"/>
        <v>0</v>
      </c>
      <c r="AA118" s="523">
        <f t="shared" si="29"/>
        <v>0</v>
      </c>
      <c r="AB118" s="523">
        <f t="shared" si="29"/>
        <v>0</v>
      </c>
      <c r="AC118" s="523">
        <f t="shared" si="29"/>
        <v>0</v>
      </c>
      <c r="AD118" s="523">
        <f t="shared" si="29"/>
        <v>0</v>
      </c>
      <c r="AE118" s="523">
        <f t="shared" si="29"/>
        <v>0</v>
      </c>
      <c r="AF118" s="523">
        <f t="shared" si="29"/>
        <v>0</v>
      </c>
      <c r="AG118" s="523">
        <f t="shared" si="29"/>
        <v>0</v>
      </c>
      <c r="AH118" s="523">
        <f t="shared" si="29"/>
        <v>0</v>
      </c>
      <c r="AI118" s="523">
        <f t="shared" si="29"/>
        <v>0</v>
      </c>
      <c r="AJ118" s="523">
        <f t="shared" si="29"/>
        <v>0</v>
      </c>
      <c r="AK118" s="523">
        <f t="shared" si="29"/>
        <v>0</v>
      </c>
      <c r="AL118" s="523">
        <f t="shared" si="29"/>
        <v>0</v>
      </c>
      <c r="AM118" s="523">
        <f t="shared" si="29"/>
        <v>0</v>
      </c>
      <c r="AN118" s="523">
        <f t="shared" si="29"/>
        <v>0</v>
      </c>
      <c r="AO118" s="523">
        <f t="shared" si="29"/>
        <v>0</v>
      </c>
      <c r="AP118" s="523">
        <f t="shared" si="29"/>
        <v>0</v>
      </c>
      <c r="AQ118" s="523">
        <f t="shared" si="30"/>
        <v>0</v>
      </c>
      <c r="AR118" s="523">
        <f t="shared" si="30"/>
        <v>0</v>
      </c>
      <c r="AS118" s="523">
        <f t="shared" si="30"/>
        <v>0</v>
      </c>
      <c r="AT118" s="523">
        <f t="shared" si="30"/>
        <v>0</v>
      </c>
      <c r="AU118" s="523">
        <f t="shared" si="30"/>
        <v>0</v>
      </c>
      <c r="AV118" s="523">
        <f t="shared" si="30"/>
        <v>0</v>
      </c>
      <c r="AW118" s="523">
        <f t="shared" si="30"/>
        <v>0</v>
      </c>
      <c r="AX118" s="523">
        <f t="shared" si="30"/>
        <v>0</v>
      </c>
      <c r="AY118" s="523">
        <f t="shared" si="30"/>
        <v>0</v>
      </c>
      <c r="AZ118" s="523">
        <f t="shared" si="30"/>
        <v>0</v>
      </c>
      <c r="BA118" s="523">
        <f t="shared" si="30"/>
        <v>0</v>
      </c>
      <c r="BB118" s="523">
        <f t="shared" si="30"/>
        <v>0</v>
      </c>
      <c r="BC118" s="523">
        <f t="shared" si="30"/>
        <v>0</v>
      </c>
      <c r="BD118" s="523">
        <f t="shared" si="30"/>
        <v>0</v>
      </c>
      <c r="BE118" s="523">
        <f t="shared" si="30"/>
        <v>0</v>
      </c>
      <c r="BF118" s="523">
        <f t="shared" si="30"/>
        <v>0</v>
      </c>
      <c r="BG118" s="523">
        <f t="shared" si="31"/>
        <v>0</v>
      </c>
      <c r="BH118" s="525">
        <f t="shared" si="31"/>
        <v>0</v>
      </c>
    </row>
    <row r="119" spans="2:60" x14ac:dyDescent="0.25">
      <c r="B119" s="566">
        <f>'Sheet 1'!B18</f>
        <v>0</v>
      </c>
      <c r="C119" s="593">
        <f>'Sheet 1'!E18</f>
        <v>0</v>
      </c>
      <c r="D119" s="594" t="s">
        <v>21</v>
      </c>
      <c r="E119" s="611">
        <f>'Sheet 1'!G18</f>
        <v>0</v>
      </c>
      <c r="F119" s="524" t="s">
        <v>72</v>
      </c>
      <c r="G119" s="612"/>
      <c r="H119" s="612"/>
      <c r="J119" s="522"/>
      <c r="K119" s="523">
        <f t="shared" si="28"/>
        <v>0</v>
      </c>
      <c r="L119" s="523">
        <f t="shared" si="28"/>
        <v>0</v>
      </c>
      <c r="M119" s="523">
        <f t="shared" si="28"/>
        <v>0</v>
      </c>
      <c r="N119" s="523">
        <f t="shared" si="28"/>
        <v>0</v>
      </c>
      <c r="O119" s="523">
        <f t="shared" si="28"/>
        <v>0</v>
      </c>
      <c r="P119" s="523">
        <f t="shared" si="28"/>
        <v>0</v>
      </c>
      <c r="Q119" s="523">
        <f t="shared" si="28"/>
        <v>0</v>
      </c>
      <c r="R119" s="523">
        <f t="shared" si="28"/>
        <v>0</v>
      </c>
      <c r="S119" s="523">
        <f t="shared" si="28"/>
        <v>0</v>
      </c>
      <c r="T119" s="523">
        <f t="shared" si="28"/>
        <v>0</v>
      </c>
      <c r="U119" s="523">
        <f t="shared" si="28"/>
        <v>0</v>
      </c>
      <c r="V119" s="523">
        <f t="shared" si="28"/>
        <v>0</v>
      </c>
      <c r="W119" s="523">
        <f t="shared" si="28"/>
        <v>0</v>
      </c>
      <c r="X119" s="523">
        <f t="shared" si="28"/>
        <v>0</v>
      </c>
      <c r="Y119" s="523">
        <f t="shared" si="28"/>
        <v>0</v>
      </c>
      <c r="Z119" s="523">
        <f t="shared" si="28"/>
        <v>0</v>
      </c>
      <c r="AA119" s="523">
        <f t="shared" si="29"/>
        <v>0</v>
      </c>
      <c r="AB119" s="523">
        <f t="shared" si="29"/>
        <v>0</v>
      </c>
      <c r="AC119" s="523">
        <f t="shared" si="29"/>
        <v>0</v>
      </c>
      <c r="AD119" s="523">
        <f t="shared" si="29"/>
        <v>0</v>
      </c>
      <c r="AE119" s="523">
        <f t="shared" si="29"/>
        <v>0</v>
      </c>
      <c r="AF119" s="523">
        <f t="shared" si="29"/>
        <v>0</v>
      </c>
      <c r="AG119" s="523">
        <f t="shared" si="29"/>
        <v>0</v>
      </c>
      <c r="AH119" s="523">
        <f t="shared" si="29"/>
        <v>0</v>
      </c>
      <c r="AI119" s="523">
        <f t="shared" si="29"/>
        <v>0</v>
      </c>
      <c r="AJ119" s="523">
        <f t="shared" si="29"/>
        <v>0</v>
      </c>
      <c r="AK119" s="523">
        <f t="shared" si="29"/>
        <v>0</v>
      </c>
      <c r="AL119" s="523">
        <f t="shared" si="29"/>
        <v>0</v>
      </c>
      <c r="AM119" s="523">
        <f t="shared" si="29"/>
        <v>0</v>
      </c>
      <c r="AN119" s="523">
        <f t="shared" si="29"/>
        <v>0</v>
      </c>
      <c r="AO119" s="523">
        <f t="shared" si="29"/>
        <v>0</v>
      </c>
      <c r="AP119" s="523">
        <f t="shared" si="29"/>
        <v>0</v>
      </c>
      <c r="AQ119" s="523">
        <f t="shared" si="30"/>
        <v>0</v>
      </c>
      <c r="AR119" s="523">
        <f t="shared" si="30"/>
        <v>0</v>
      </c>
      <c r="AS119" s="523">
        <f t="shared" si="30"/>
        <v>0</v>
      </c>
      <c r="AT119" s="523">
        <f t="shared" si="30"/>
        <v>0</v>
      </c>
      <c r="AU119" s="523">
        <f t="shared" si="30"/>
        <v>0</v>
      </c>
      <c r="AV119" s="523">
        <f t="shared" si="30"/>
        <v>0</v>
      </c>
      <c r="AW119" s="523">
        <f t="shared" si="30"/>
        <v>0</v>
      </c>
      <c r="AX119" s="523">
        <f t="shared" si="30"/>
        <v>0</v>
      </c>
      <c r="AY119" s="523">
        <f t="shared" si="30"/>
        <v>0</v>
      </c>
      <c r="AZ119" s="523">
        <f t="shared" si="30"/>
        <v>0</v>
      </c>
      <c r="BA119" s="523">
        <f t="shared" si="30"/>
        <v>0</v>
      </c>
      <c r="BB119" s="523">
        <f t="shared" si="30"/>
        <v>0</v>
      </c>
      <c r="BC119" s="523">
        <f t="shared" si="30"/>
        <v>0</v>
      </c>
      <c r="BD119" s="523">
        <f t="shared" si="30"/>
        <v>0</v>
      </c>
      <c r="BE119" s="523">
        <f t="shared" si="30"/>
        <v>0</v>
      </c>
      <c r="BF119" s="523">
        <f t="shared" si="30"/>
        <v>0</v>
      </c>
      <c r="BG119" s="523">
        <f t="shared" si="31"/>
        <v>0</v>
      </c>
      <c r="BH119" s="525">
        <f t="shared" si="31"/>
        <v>0</v>
      </c>
    </row>
    <row r="120" spans="2:60" x14ac:dyDescent="0.25">
      <c r="B120" s="566">
        <f>'Sheet 1'!B19</f>
        <v>0</v>
      </c>
      <c r="C120" s="593">
        <f>'Sheet 1'!E19</f>
        <v>0</v>
      </c>
      <c r="D120" s="594" t="s">
        <v>21</v>
      </c>
      <c r="E120" s="611">
        <f>'Sheet 1'!G19</f>
        <v>0</v>
      </c>
      <c r="F120" s="524" t="s">
        <v>72</v>
      </c>
      <c r="G120" s="612"/>
      <c r="H120" s="612"/>
      <c r="J120" s="522"/>
      <c r="K120" s="523">
        <f t="shared" si="28"/>
        <v>0</v>
      </c>
      <c r="L120" s="523">
        <f t="shared" si="28"/>
        <v>0</v>
      </c>
      <c r="M120" s="523">
        <f t="shared" si="28"/>
        <v>0</v>
      </c>
      <c r="N120" s="523">
        <f t="shared" si="28"/>
        <v>0</v>
      </c>
      <c r="O120" s="523">
        <f t="shared" si="28"/>
        <v>0</v>
      </c>
      <c r="P120" s="523">
        <f t="shared" si="28"/>
        <v>0</v>
      </c>
      <c r="Q120" s="523">
        <f t="shared" si="28"/>
        <v>0</v>
      </c>
      <c r="R120" s="523">
        <f t="shared" si="28"/>
        <v>0</v>
      </c>
      <c r="S120" s="523">
        <f t="shared" si="28"/>
        <v>0</v>
      </c>
      <c r="T120" s="523">
        <f t="shared" si="28"/>
        <v>0</v>
      </c>
      <c r="U120" s="523">
        <f t="shared" si="28"/>
        <v>0</v>
      </c>
      <c r="V120" s="523">
        <f t="shared" si="28"/>
        <v>0</v>
      </c>
      <c r="W120" s="523">
        <f t="shared" si="28"/>
        <v>0</v>
      </c>
      <c r="X120" s="523">
        <f t="shared" si="28"/>
        <v>0</v>
      </c>
      <c r="Y120" s="523">
        <f t="shared" si="28"/>
        <v>0</v>
      </c>
      <c r="Z120" s="523">
        <f t="shared" si="28"/>
        <v>0</v>
      </c>
      <c r="AA120" s="523">
        <f t="shared" si="29"/>
        <v>0</v>
      </c>
      <c r="AB120" s="523">
        <f t="shared" si="29"/>
        <v>0</v>
      </c>
      <c r="AC120" s="523">
        <f t="shared" si="29"/>
        <v>0</v>
      </c>
      <c r="AD120" s="523">
        <f t="shared" si="29"/>
        <v>0</v>
      </c>
      <c r="AE120" s="523">
        <f t="shared" si="29"/>
        <v>0</v>
      </c>
      <c r="AF120" s="523">
        <f t="shared" si="29"/>
        <v>0</v>
      </c>
      <c r="AG120" s="523">
        <f t="shared" si="29"/>
        <v>0</v>
      </c>
      <c r="AH120" s="523">
        <f t="shared" si="29"/>
        <v>0</v>
      </c>
      <c r="AI120" s="523">
        <f t="shared" si="29"/>
        <v>0</v>
      </c>
      <c r="AJ120" s="523">
        <f t="shared" si="29"/>
        <v>0</v>
      </c>
      <c r="AK120" s="523">
        <f t="shared" si="29"/>
        <v>0</v>
      </c>
      <c r="AL120" s="523">
        <f t="shared" si="29"/>
        <v>0</v>
      </c>
      <c r="AM120" s="523">
        <f t="shared" si="29"/>
        <v>0</v>
      </c>
      <c r="AN120" s="523">
        <f t="shared" si="29"/>
        <v>0</v>
      </c>
      <c r="AO120" s="523">
        <f t="shared" si="29"/>
        <v>0</v>
      </c>
      <c r="AP120" s="523">
        <f t="shared" si="29"/>
        <v>0</v>
      </c>
      <c r="AQ120" s="523">
        <f t="shared" si="30"/>
        <v>0</v>
      </c>
      <c r="AR120" s="523">
        <f t="shared" si="30"/>
        <v>0</v>
      </c>
      <c r="AS120" s="523">
        <f t="shared" si="30"/>
        <v>0</v>
      </c>
      <c r="AT120" s="523">
        <f t="shared" si="30"/>
        <v>0</v>
      </c>
      <c r="AU120" s="523">
        <f t="shared" si="30"/>
        <v>0</v>
      </c>
      <c r="AV120" s="523">
        <f t="shared" si="30"/>
        <v>0</v>
      </c>
      <c r="AW120" s="523">
        <f t="shared" si="30"/>
        <v>0</v>
      </c>
      <c r="AX120" s="523">
        <f t="shared" si="30"/>
        <v>0</v>
      </c>
      <c r="AY120" s="523">
        <f t="shared" si="30"/>
        <v>0</v>
      </c>
      <c r="AZ120" s="523">
        <f t="shared" si="30"/>
        <v>0</v>
      </c>
      <c r="BA120" s="523">
        <f t="shared" si="30"/>
        <v>0</v>
      </c>
      <c r="BB120" s="523">
        <f t="shared" si="30"/>
        <v>0</v>
      </c>
      <c r="BC120" s="523">
        <f t="shared" si="30"/>
        <v>0</v>
      </c>
      <c r="BD120" s="523">
        <f t="shared" si="30"/>
        <v>0</v>
      </c>
      <c r="BE120" s="523">
        <f t="shared" si="30"/>
        <v>0</v>
      </c>
      <c r="BF120" s="523">
        <f t="shared" si="30"/>
        <v>0</v>
      </c>
      <c r="BG120" s="523">
        <f t="shared" si="31"/>
        <v>0</v>
      </c>
      <c r="BH120" s="525">
        <f t="shared" si="31"/>
        <v>0</v>
      </c>
    </row>
    <row r="121" spans="2:60" x14ac:dyDescent="0.25">
      <c r="B121" s="566">
        <f>'Sheet 1'!B20</f>
        <v>0</v>
      </c>
      <c r="C121" s="593">
        <f>'Sheet 1'!E20</f>
        <v>0</v>
      </c>
      <c r="D121" s="594"/>
      <c r="E121" s="611">
        <f>'Sheet 1'!G20</f>
        <v>0</v>
      </c>
      <c r="F121" s="524"/>
      <c r="G121" s="612"/>
      <c r="H121" s="612"/>
      <c r="J121" s="522"/>
      <c r="K121" s="523">
        <f t="shared" si="28"/>
        <v>0</v>
      </c>
      <c r="L121" s="523">
        <f t="shared" si="28"/>
        <v>0</v>
      </c>
      <c r="M121" s="523">
        <f t="shared" si="28"/>
        <v>0</v>
      </c>
      <c r="N121" s="523">
        <f t="shared" si="28"/>
        <v>0</v>
      </c>
      <c r="O121" s="523">
        <f t="shared" si="28"/>
        <v>0</v>
      </c>
      <c r="P121" s="523">
        <f t="shared" si="28"/>
        <v>0</v>
      </c>
      <c r="Q121" s="523">
        <f t="shared" si="28"/>
        <v>0</v>
      </c>
      <c r="R121" s="523">
        <f t="shared" si="28"/>
        <v>0</v>
      </c>
      <c r="S121" s="523">
        <f t="shared" si="28"/>
        <v>0</v>
      </c>
      <c r="T121" s="523">
        <f t="shared" si="28"/>
        <v>0</v>
      </c>
      <c r="U121" s="523">
        <f t="shared" si="28"/>
        <v>0</v>
      </c>
      <c r="V121" s="523">
        <f t="shared" si="28"/>
        <v>0</v>
      </c>
      <c r="W121" s="523">
        <f t="shared" si="28"/>
        <v>0</v>
      </c>
      <c r="X121" s="523">
        <f t="shared" si="28"/>
        <v>0</v>
      </c>
      <c r="Y121" s="523">
        <f t="shared" si="28"/>
        <v>0</v>
      </c>
      <c r="Z121" s="523">
        <f t="shared" si="28"/>
        <v>0</v>
      </c>
      <c r="AA121" s="523">
        <f t="shared" si="29"/>
        <v>0</v>
      </c>
      <c r="AB121" s="523">
        <f t="shared" si="29"/>
        <v>0</v>
      </c>
      <c r="AC121" s="523">
        <f t="shared" si="29"/>
        <v>0</v>
      </c>
      <c r="AD121" s="523">
        <f t="shared" si="29"/>
        <v>0</v>
      </c>
      <c r="AE121" s="523">
        <f t="shared" si="29"/>
        <v>0</v>
      </c>
      <c r="AF121" s="523">
        <f t="shared" si="29"/>
        <v>0</v>
      </c>
      <c r="AG121" s="523">
        <f t="shared" si="29"/>
        <v>0</v>
      </c>
      <c r="AH121" s="523">
        <f t="shared" si="29"/>
        <v>0</v>
      </c>
      <c r="AI121" s="523">
        <f t="shared" si="29"/>
        <v>0</v>
      </c>
      <c r="AJ121" s="523">
        <f t="shared" si="29"/>
        <v>0</v>
      </c>
      <c r="AK121" s="523">
        <f t="shared" si="29"/>
        <v>0</v>
      </c>
      <c r="AL121" s="523">
        <f t="shared" si="29"/>
        <v>0</v>
      </c>
      <c r="AM121" s="523">
        <f t="shared" si="29"/>
        <v>0</v>
      </c>
      <c r="AN121" s="523">
        <f t="shared" si="29"/>
        <v>0</v>
      </c>
      <c r="AO121" s="523">
        <f t="shared" si="29"/>
        <v>0</v>
      </c>
      <c r="AP121" s="523">
        <f t="shared" si="29"/>
        <v>0</v>
      </c>
      <c r="AQ121" s="523">
        <f t="shared" si="30"/>
        <v>0</v>
      </c>
      <c r="AR121" s="523">
        <f t="shared" si="30"/>
        <v>0</v>
      </c>
      <c r="AS121" s="523">
        <f t="shared" si="30"/>
        <v>0</v>
      </c>
      <c r="AT121" s="523">
        <f t="shared" si="30"/>
        <v>0</v>
      </c>
      <c r="AU121" s="523">
        <f t="shared" si="30"/>
        <v>0</v>
      </c>
      <c r="AV121" s="523">
        <f t="shared" si="30"/>
        <v>0</v>
      </c>
      <c r="AW121" s="523">
        <f t="shared" si="30"/>
        <v>0</v>
      </c>
      <c r="AX121" s="523">
        <f t="shared" si="30"/>
        <v>0</v>
      </c>
      <c r="AY121" s="523">
        <f t="shared" si="30"/>
        <v>0</v>
      </c>
      <c r="AZ121" s="523">
        <f t="shared" si="30"/>
        <v>0</v>
      </c>
      <c r="BA121" s="523">
        <f t="shared" si="30"/>
        <v>0</v>
      </c>
      <c r="BB121" s="523">
        <f t="shared" si="30"/>
        <v>0</v>
      </c>
      <c r="BC121" s="523">
        <f t="shared" si="30"/>
        <v>0</v>
      </c>
      <c r="BD121" s="523">
        <f t="shared" si="30"/>
        <v>0</v>
      </c>
      <c r="BE121" s="523">
        <f t="shared" si="30"/>
        <v>0</v>
      </c>
      <c r="BF121" s="523">
        <f t="shared" si="30"/>
        <v>0</v>
      </c>
      <c r="BG121" s="523">
        <f t="shared" si="31"/>
        <v>0</v>
      </c>
      <c r="BH121" s="525">
        <f t="shared" si="31"/>
        <v>0</v>
      </c>
    </row>
    <row r="122" spans="2:60" x14ac:dyDescent="0.25">
      <c r="B122" s="566">
        <f>'Sheet 1'!B21</f>
        <v>0</v>
      </c>
      <c r="C122" s="593">
        <f>'Sheet 1'!E21</f>
        <v>0</v>
      </c>
      <c r="D122" s="594"/>
      <c r="E122" s="611">
        <f>'Sheet 1'!G21</f>
        <v>0</v>
      </c>
      <c r="F122" s="524"/>
      <c r="G122" s="612"/>
      <c r="H122" s="612"/>
      <c r="J122" s="522"/>
      <c r="K122" s="523">
        <f t="shared" si="28"/>
        <v>0</v>
      </c>
      <c r="L122" s="523">
        <f t="shared" si="28"/>
        <v>0</v>
      </c>
      <c r="M122" s="523">
        <f t="shared" si="28"/>
        <v>0</v>
      </c>
      <c r="N122" s="523">
        <f t="shared" si="28"/>
        <v>0</v>
      </c>
      <c r="O122" s="523">
        <f t="shared" si="28"/>
        <v>0</v>
      </c>
      <c r="P122" s="523">
        <f t="shared" si="28"/>
        <v>0</v>
      </c>
      <c r="Q122" s="523">
        <f t="shared" si="28"/>
        <v>0</v>
      </c>
      <c r="R122" s="523">
        <f t="shared" si="28"/>
        <v>0</v>
      </c>
      <c r="S122" s="523">
        <f t="shared" si="28"/>
        <v>0</v>
      </c>
      <c r="T122" s="523">
        <f t="shared" si="28"/>
        <v>0</v>
      </c>
      <c r="U122" s="523">
        <f t="shared" si="28"/>
        <v>0</v>
      </c>
      <c r="V122" s="523">
        <f t="shared" si="28"/>
        <v>0</v>
      </c>
      <c r="W122" s="523">
        <f t="shared" si="28"/>
        <v>0</v>
      </c>
      <c r="X122" s="523">
        <f t="shared" si="28"/>
        <v>0</v>
      </c>
      <c r="Y122" s="523">
        <f t="shared" si="28"/>
        <v>0</v>
      </c>
      <c r="Z122" s="523">
        <f t="shared" si="28"/>
        <v>0</v>
      </c>
      <c r="AA122" s="523">
        <f t="shared" si="29"/>
        <v>0</v>
      </c>
      <c r="AB122" s="523">
        <f t="shared" si="29"/>
        <v>0</v>
      </c>
      <c r="AC122" s="523">
        <f t="shared" si="29"/>
        <v>0</v>
      </c>
      <c r="AD122" s="523">
        <f t="shared" si="29"/>
        <v>0</v>
      </c>
      <c r="AE122" s="523">
        <f t="shared" si="29"/>
        <v>0</v>
      </c>
      <c r="AF122" s="523">
        <f t="shared" si="29"/>
        <v>0</v>
      </c>
      <c r="AG122" s="523">
        <f t="shared" si="29"/>
        <v>0</v>
      </c>
      <c r="AH122" s="523">
        <f t="shared" si="29"/>
        <v>0</v>
      </c>
      <c r="AI122" s="523">
        <f t="shared" si="29"/>
        <v>0</v>
      </c>
      <c r="AJ122" s="523">
        <f t="shared" si="29"/>
        <v>0</v>
      </c>
      <c r="AK122" s="523">
        <f t="shared" si="29"/>
        <v>0</v>
      </c>
      <c r="AL122" s="523">
        <f t="shared" si="29"/>
        <v>0</v>
      </c>
      <c r="AM122" s="523">
        <f t="shared" si="29"/>
        <v>0</v>
      </c>
      <c r="AN122" s="523">
        <f t="shared" si="29"/>
        <v>0</v>
      </c>
      <c r="AO122" s="523">
        <f t="shared" si="29"/>
        <v>0</v>
      </c>
      <c r="AP122" s="523">
        <f t="shared" si="29"/>
        <v>0</v>
      </c>
      <c r="AQ122" s="523">
        <f t="shared" si="30"/>
        <v>0</v>
      </c>
      <c r="AR122" s="523">
        <f t="shared" si="30"/>
        <v>0</v>
      </c>
      <c r="AS122" s="523">
        <f t="shared" si="30"/>
        <v>0</v>
      </c>
      <c r="AT122" s="523">
        <f t="shared" si="30"/>
        <v>0</v>
      </c>
      <c r="AU122" s="523">
        <f t="shared" si="30"/>
        <v>0</v>
      </c>
      <c r="AV122" s="523">
        <f t="shared" si="30"/>
        <v>0</v>
      </c>
      <c r="AW122" s="523">
        <f t="shared" si="30"/>
        <v>0</v>
      </c>
      <c r="AX122" s="523">
        <f t="shared" si="30"/>
        <v>0</v>
      </c>
      <c r="AY122" s="523">
        <f t="shared" si="30"/>
        <v>0</v>
      </c>
      <c r="AZ122" s="523">
        <f t="shared" si="30"/>
        <v>0</v>
      </c>
      <c r="BA122" s="523">
        <f t="shared" si="30"/>
        <v>0</v>
      </c>
      <c r="BB122" s="523">
        <f t="shared" si="30"/>
        <v>0</v>
      </c>
      <c r="BC122" s="523">
        <f t="shared" si="30"/>
        <v>0</v>
      </c>
      <c r="BD122" s="523">
        <f t="shared" si="30"/>
        <v>0</v>
      </c>
      <c r="BE122" s="523">
        <f t="shared" si="30"/>
        <v>0</v>
      </c>
      <c r="BF122" s="523">
        <f t="shared" si="30"/>
        <v>0</v>
      </c>
      <c r="BG122" s="523">
        <f t="shared" si="31"/>
        <v>0</v>
      </c>
      <c r="BH122" s="525">
        <f t="shared" si="31"/>
        <v>0</v>
      </c>
    </row>
    <row r="123" spans="2:60" x14ac:dyDescent="0.25">
      <c r="B123" s="566">
        <f>'Sheet 1'!B22</f>
        <v>0</v>
      </c>
      <c r="C123" s="593">
        <f>'Sheet 1'!E22</f>
        <v>0</v>
      </c>
      <c r="D123" s="594"/>
      <c r="E123" s="611">
        <f>'Sheet 1'!G22</f>
        <v>0</v>
      </c>
      <c r="F123" s="524"/>
      <c r="G123" s="612"/>
      <c r="H123" s="612"/>
      <c r="J123" s="522"/>
      <c r="K123" s="523">
        <f t="shared" si="28"/>
        <v>0</v>
      </c>
      <c r="L123" s="523">
        <f t="shared" si="28"/>
        <v>0</v>
      </c>
      <c r="M123" s="523">
        <f t="shared" si="28"/>
        <v>0</v>
      </c>
      <c r="N123" s="523">
        <f t="shared" si="28"/>
        <v>0</v>
      </c>
      <c r="O123" s="523">
        <f t="shared" si="28"/>
        <v>0</v>
      </c>
      <c r="P123" s="523">
        <f t="shared" si="28"/>
        <v>0</v>
      </c>
      <c r="Q123" s="523">
        <f t="shared" si="28"/>
        <v>0</v>
      </c>
      <c r="R123" s="523">
        <f t="shared" si="28"/>
        <v>0</v>
      </c>
      <c r="S123" s="523">
        <f t="shared" si="28"/>
        <v>0</v>
      </c>
      <c r="T123" s="523">
        <f t="shared" si="28"/>
        <v>0</v>
      </c>
      <c r="U123" s="523">
        <f t="shared" si="28"/>
        <v>0</v>
      </c>
      <c r="V123" s="523">
        <f t="shared" si="28"/>
        <v>0</v>
      </c>
      <c r="W123" s="523">
        <f t="shared" si="28"/>
        <v>0</v>
      </c>
      <c r="X123" s="523">
        <f t="shared" si="28"/>
        <v>0</v>
      </c>
      <c r="Y123" s="523">
        <f t="shared" si="28"/>
        <v>0</v>
      </c>
      <c r="Z123" s="523">
        <f t="shared" si="28"/>
        <v>0</v>
      </c>
      <c r="AA123" s="523">
        <f t="shared" si="29"/>
        <v>0</v>
      </c>
      <c r="AB123" s="523">
        <f t="shared" si="29"/>
        <v>0</v>
      </c>
      <c r="AC123" s="523">
        <f t="shared" si="29"/>
        <v>0</v>
      </c>
      <c r="AD123" s="523">
        <f t="shared" si="29"/>
        <v>0</v>
      </c>
      <c r="AE123" s="523">
        <f t="shared" si="29"/>
        <v>0</v>
      </c>
      <c r="AF123" s="523">
        <f t="shared" si="29"/>
        <v>0</v>
      </c>
      <c r="AG123" s="523">
        <f t="shared" si="29"/>
        <v>0</v>
      </c>
      <c r="AH123" s="523">
        <f t="shared" si="29"/>
        <v>0</v>
      </c>
      <c r="AI123" s="523">
        <f t="shared" si="29"/>
        <v>0</v>
      </c>
      <c r="AJ123" s="523">
        <f t="shared" si="29"/>
        <v>0</v>
      </c>
      <c r="AK123" s="523">
        <f t="shared" si="29"/>
        <v>0</v>
      </c>
      <c r="AL123" s="523">
        <f t="shared" si="29"/>
        <v>0</v>
      </c>
      <c r="AM123" s="523">
        <f t="shared" si="29"/>
        <v>0</v>
      </c>
      <c r="AN123" s="523">
        <f t="shared" si="29"/>
        <v>0</v>
      </c>
      <c r="AO123" s="523">
        <f t="shared" si="29"/>
        <v>0</v>
      </c>
      <c r="AP123" s="523">
        <f t="shared" si="29"/>
        <v>0</v>
      </c>
      <c r="AQ123" s="523">
        <f t="shared" si="30"/>
        <v>0</v>
      </c>
      <c r="AR123" s="523">
        <f t="shared" si="30"/>
        <v>0</v>
      </c>
      <c r="AS123" s="523">
        <f t="shared" si="30"/>
        <v>0</v>
      </c>
      <c r="AT123" s="523">
        <f t="shared" si="30"/>
        <v>0</v>
      </c>
      <c r="AU123" s="523">
        <f t="shared" si="30"/>
        <v>0</v>
      </c>
      <c r="AV123" s="523">
        <f t="shared" si="30"/>
        <v>0</v>
      </c>
      <c r="AW123" s="523">
        <f t="shared" si="30"/>
        <v>0</v>
      </c>
      <c r="AX123" s="523">
        <f t="shared" si="30"/>
        <v>0</v>
      </c>
      <c r="AY123" s="523">
        <f t="shared" si="30"/>
        <v>0</v>
      </c>
      <c r="AZ123" s="523">
        <f t="shared" si="30"/>
        <v>0</v>
      </c>
      <c r="BA123" s="523">
        <f t="shared" si="30"/>
        <v>0</v>
      </c>
      <c r="BB123" s="523">
        <f t="shared" si="30"/>
        <v>0</v>
      </c>
      <c r="BC123" s="523">
        <f t="shared" si="30"/>
        <v>0</v>
      </c>
      <c r="BD123" s="523">
        <f t="shared" si="30"/>
        <v>0</v>
      </c>
      <c r="BE123" s="523">
        <f t="shared" si="30"/>
        <v>0</v>
      </c>
      <c r="BF123" s="523">
        <f t="shared" si="30"/>
        <v>0</v>
      </c>
      <c r="BG123" s="523">
        <f t="shared" si="31"/>
        <v>0</v>
      </c>
      <c r="BH123" s="525">
        <f t="shared" si="31"/>
        <v>0</v>
      </c>
    </row>
    <row r="124" spans="2:60" x14ac:dyDescent="0.25">
      <c r="B124" s="566">
        <f>'Sheet 1'!B23</f>
        <v>0</v>
      </c>
      <c r="C124" s="593">
        <f>'Sheet 1'!E23</f>
        <v>0</v>
      </c>
      <c r="D124" s="594"/>
      <c r="E124" s="611">
        <f>'Sheet 1'!G23</f>
        <v>0</v>
      </c>
      <c r="F124" s="524"/>
      <c r="G124" s="612"/>
      <c r="H124" s="612"/>
      <c r="J124" s="522"/>
      <c r="K124" s="523">
        <f t="shared" si="28"/>
        <v>0</v>
      </c>
      <c r="L124" s="523">
        <f t="shared" si="28"/>
        <v>0</v>
      </c>
      <c r="M124" s="523">
        <f t="shared" si="28"/>
        <v>0</v>
      </c>
      <c r="N124" s="523">
        <f t="shared" si="28"/>
        <v>0</v>
      </c>
      <c r="O124" s="523">
        <f t="shared" si="28"/>
        <v>0</v>
      </c>
      <c r="P124" s="523">
        <f t="shared" si="28"/>
        <v>0</v>
      </c>
      <c r="Q124" s="523">
        <f t="shared" si="28"/>
        <v>0</v>
      </c>
      <c r="R124" s="523">
        <f t="shared" si="28"/>
        <v>0</v>
      </c>
      <c r="S124" s="523">
        <f t="shared" si="28"/>
        <v>0</v>
      </c>
      <c r="T124" s="523">
        <f t="shared" si="28"/>
        <v>0</v>
      </c>
      <c r="U124" s="523">
        <f t="shared" si="28"/>
        <v>0</v>
      </c>
      <c r="V124" s="523">
        <f t="shared" si="28"/>
        <v>0</v>
      </c>
      <c r="W124" s="523">
        <f t="shared" si="28"/>
        <v>0</v>
      </c>
      <c r="X124" s="523">
        <f t="shared" si="28"/>
        <v>0</v>
      </c>
      <c r="Y124" s="523">
        <f t="shared" si="28"/>
        <v>0</v>
      </c>
      <c r="Z124" s="523">
        <f t="shared" si="28"/>
        <v>0</v>
      </c>
      <c r="AA124" s="523">
        <f t="shared" si="29"/>
        <v>0</v>
      </c>
      <c r="AB124" s="523">
        <f t="shared" si="29"/>
        <v>0</v>
      </c>
      <c r="AC124" s="523">
        <f t="shared" si="29"/>
        <v>0</v>
      </c>
      <c r="AD124" s="523">
        <f t="shared" si="29"/>
        <v>0</v>
      </c>
      <c r="AE124" s="523">
        <f t="shared" si="29"/>
        <v>0</v>
      </c>
      <c r="AF124" s="523">
        <f t="shared" si="29"/>
        <v>0</v>
      </c>
      <c r="AG124" s="523">
        <f t="shared" si="29"/>
        <v>0</v>
      </c>
      <c r="AH124" s="523">
        <f t="shared" si="29"/>
        <v>0</v>
      </c>
      <c r="AI124" s="523">
        <f t="shared" si="29"/>
        <v>0</v>
      </c>
      <c r="AJ124" s="523">
        <f t="shared" si="29"/>
        <v>0</v>
      </c>
      <c r="AK124" s="523">
        <f t="shared" si="29"/>
        <v>0</v>
      </c>
      <c r="AL124" s="523">
        <f t="shared" si="29"/>
        <v>0</v>
      </c>
      <c r="AM124" s="523">
        <f t="shared" si="29"/>
        <v>0</v>
      </c>
      <c r="AN124" s="523">
        <f t="shared" si="29"/>
        <v>0</v>
      </c>
      <c r="AO124" s="523">
        <f t="shared" si="29"/>
        <v>0</v>
      </c>
      <c r="AP124" s="523">
        <f t="shared" si="29"/>
        <v>0</v>
      </c>
      <c r="AQ124" s="523">
        <f t="shared" si="30"/>
        <v>0</v>
      </c>
      <c r="AR124" s="523">
        <f t="shared" si="30"/>
        <v>0</v>
      </c>
      <c r="AS124" s="523">
        <f t="shared" si="30"/>
        <v>0</v>
      </c>
      <c r="AT124" s="523">
        <f t="shared" si="30"/>
        <v>0</v>
      </c>
      <c r="AU124" s="523">
        <f t="shared" si="30"/>
        <v>0</v>
      </c>
      <c r="AV124" s="523">
        <f t="shared" si="30"/>
        <v>0</v>
      </c>
      <c r="AW124" s="523">
        <f t="shared" si="30"/>
        <v>0</v>
      </c>
      <c r="AX124" s="523">
        <f t="shared" si="30"/>
        <v>0</v>
      </c>
      <c r="AY124" s="523">
        <f t="shared" si="30"/>
        <v>0</v>
      </c>
      <c r="AZ124" s="523">
        <f t="shared" si="30"/>
        <v>0</v>
      </c>
      <c r="BA124" s="523">
        <f t="shared" si="30"/>
        <v>0</v>
      </c>
      <c r="BB124" s="523">
        <f t="shared" si="30"/>
        <v>0</v>
      </c>
      <c r="BC124" s="523">
        <f t="shared" si="30"/>
        <v>0</v>
      </c>
      <c r="BD124" s="523">
        <f t="shared" si="30"/>
        <v>0</v>
      </c>
      <c r="BE124" s="523">
        <f t="shared" si="30"/>
        <v>0</v>
      </c>
      <c r="BF124" s="523">
        <f t="shared" si="30"/>
        <v>0</v>
      </c>
      <c r="BG124" s="523">
        <f t="shared" si="31"/>
        <v>0</v>
      </c>
      <c r="BH124" s="525">
        <f t="shared" si="31"/>
        <v>0</v>
      </c>
    </row>
    <row r="125" spans="2:60" x14ac:dyDescent="0.25">
      <c r="B125" s="566">
        <f>'Sheet 1'!B24</f>
        <v>0</v>
      </c>
      <c r="C125" s="593">
        <f>'Sheet 1'!E24</f>
        <v>0</v>
      </c>
      <c r="D125" s="594"/>
      <c r="E125" s="611">
        <f>'Sheet 1'!G24</f>
        <v>0</v>
      </c>
      <c r="F125" s="524"/>
      <c r="G125" s="612"/>
      <c r="H125" s="612"/>
      <c r="J125" s="522"/>
      <c r="K125" s="523">
        <f t="shared" si="28"/>
        <v>0</v>
      </c>
      <c r="L125" s="523">
        <f t="shared" si="28"/>
        <v>0</v>
      </c>
      <c r="M125" s="523">
        <f t="shared" si="28"/>
        <v>0</v>
      </c>
      <c r="N125" s="523">
        <f t="shared" si="28"/>
        <v>0</v>
      </c>
      <c r="O125" s="523">
        <f t="shared" si="28"/>
        <v>0</v>
      </c>
      <c r="P125" s="523">
        <f t="shared" si="28"/>
        <v>0</v>
      </c>
      <c r="Q125" s="523">
        <f t="shared" si="28"/>
        <v>0</v>
      </c>
      <c r="R125" s="523">
        <f t="shared" si="28"/>
        <v>0</v>
      </c>
      <c r="S125" s="523">
        <f t="shared" si="28"/>
        <v>0</v>
      </c>
      <c r="T125" s="523">
        <f t="shared" si="28"/>
        <v>0</v>
      </c>
      <c r="U125" s="523">
        <f t="shared" si="28"/>
        <v>0</v>
      </c>
      <c r="V125" s="523">
        <f t="shared" si="28"/>
        <v>0</v>
      </c>
      <c r="W125" s="523">
        <f t="shared" si="28"/>
        <v>0</v>
      </c>
      <c r="X125" s="523">
        <f t="shared" si="28"/>
        <v>0</v>
      </c>
      <c r="Y125" s="523">
        <f t="shared" si="28"/>
        <v>0</v>
      </c>
      <c r="Z125" s="523">
        <f t="shared" si="28"/>
        <v>0</v>
      </c>
      <c r="AA125" s="523">
        <f t="shared" si="29"/>
        <v>0</v>
      </c>
      <c r="AB125" s="523">
        <f t="shared" si="29"/>
        <v>0</v>
      </c>
      <c r="AC125" s="523">
        <f t="shared" si="29"/>
        <v>0</v>
      </c>
      <c r="AD125" s="523">
        <f t="shared" si="29"/>
        <v>0</v>
      </c>
      <c r="AE125" s="523">
        <f t="shared" si="29"/>
        <v>0</v>
      </c>
      <c r="AF125" s="523">
        <f t="shared" si="29"/>
        <v>0</v>
      </c>
      <c r="AG125" s="523">
        <f t="shared" si="29"/>
        <v>0</v>
      </c>
      <c r="AH125" s="523">
        <f t="shared" si="29"/>
        <v>0</v>
      </c>
      <c r="AI125" s="523">
        <f t="shared" si="29"/>
        <v>0</v>
      </c>
      <c r="AJ125" s="523">
        <f t="shared" si="29"/>
        <v>0</v>
      </c>
      <c r="AK125" s="523">
        <f t="shared" si="29"/>
        <v>0</v>
      </c>
      <c r="AL125" s="523">
        <f t="shared" si="29"/>
        <v>0</v>
      </c>
      <c r="AM125" s="523">
        <f t="shared" si="29"/>
        <v>0</v>
      </c>
      <c r="AN125" s="523">
        <f t="shared" si="29"/>
        <v>0</v>
      </c>
      <c r="AO125" s="523">
        <f t="shared" si="29"/>
        <v>0</v>
      </c>
      <c r="AP125" s="523">
        <f t="shared" si="29"/>
        <v>0</v>
      </c>
      <c r="AQ125" s="523">
        <f t="shared" si="30"/>
        <v>0</v>
      </c>
      <c r="AR125" s="523">
        <f t="shared" si="30"/>
        <v>0</v>
      </c>
      <c r="AS125" s="523">
        <f t="shared" si="30"/>
        <v>0</v>
      </c>
      <c r="AT125" s="523">
        <f t="shared" si="30"/>
        <v>0</v>
      </c>
      <c r="AU125" s="523">
        <f t="shared" si="30"/>
        <v>0</v>
      </c>
      <c r="AV125" s="523">
        <f t="shared" si="30"/>
        <v>0</v>
      </c>
      <c r="AW125" s="523">
        <f t="shared" si="30"/>
        <v>0</v>
      </c>
      <c r="AX125" s="523">
        <f t="shared" si="30"/>
        <v>0</v>
      </c>
      <c r="AY125" s="523">
        <f t="shared" si="30"/>
        <v>0</v>
      </c>
      <c r="AZ125" s="523">
        <f t="shared" si="30"/>
        <v>0</v>
      </c>
      <c r="BA125" s="523">
        <f t="shared" si="30"/>
        <v>0</v>
      </c>
      <c r="BB125" s="523">
        <f t="shared" si="30"/>
        <v>0</v>
      </c>
      <c r="BC125" s="523">
        <f t="shared" si="30"/>
        <v>0</v>
      </c>
      <c r="BD125" s="523">
        <f t="shared" si="30"/>
        <v>0</v>
      </c>
      <c r="BE125" s="523">
        <f t="shared" si="30"/>
        <v>0</v>
      </c>
      <c r="BF125" s="523">
        <f t="shared" si="30"/>
        <v>0</v>
      </c>
      <c r="BG125" s="523">
        <f t="shared" si="31"/>
        <v>0</v>
      </c>
      <c r="BH125" s="525">
        <f t="shared" si="31"/>
        <v>0</v>
      </c>
    </row>
    <row r="126" spans="2:60" x14ac:dyDescent="0.25">
      <c r="B126" s="566">
        <f>'Sheet 1'!B25</f>
        <v>0</v>
      </c>
      <c r="C126" s="593">
        <f>'Sheet 1'!E25</f>
        <v>0</v>
      </c>
      <c r="D126" s="594"/>
      <c r="E126" s="611">
        <f>'Sheet 1'!G25</f>
        <v>0</v>
      </c>
      <c r="F126" s="524"/>
      <c r="G126" s="612"/>
      <c r="H126" s="612"/>
      <c r="J126" s="522"/>
      <c r="K126" s="523">
        <f t="shared" si="28"/>
        <v>0</v>
      </c>
      <c r="L126" s="523">
        <f t="shared" si="28"/>
        <v>0</v>
      </c>
      <c r="M126" s="523">
        <f t="shared" si="28"/>
        <v>0</v>
      </c>
      <c r="N126" s="523">
        <f t="shared" si="28"/>
        <v>0</v>
      </c>
      <c r="O126" s="523">
        <f t="shared" si="28"/>
        <v>0</v>
      </c>
      <c r="P126" s="523">
        <f t="shared" si="28"/>
        <v>0</v>
      </c>
      <c r="Q126" s="523">
        <f t="shared" si="28"/>
        <v>0</v>
      </c>
      <c r="R126" s="523">
        <f t="shared" si="28"/>
        <v>0</v>
      </c>
      <c r="S126" s="523">
        <f t="shared" si="28"/>
        <v>0</v>
      </c>
      <c r="T126" s="523">
        <f t="shared" si="28"/>
        <v>0</v>
      </c>
      <c r="U126" s="523">
        <f t="shared" si="28"/>
        <v>0</v>
      </c>
      <c r="V126" s="523">
        <f t="shared" si="28"/>
        <v>0</v>
      </c>
      <c r="W126" s="523">
        <f t="shared" si="28"/>
        <v>0</v>
      </c>
      <c r="X126" s="523">
        <f t="shared" si="28"/>
        <v>0</v>
      </c>
      <c r="Y126" s="523">
        <f t="shared" si="28"/>
        <v>0</v>
      </c>
      <c r="Z126" s="523">
        <f t="shared" si="28"/>
        <v>0</v>
      </c>
      <c r="AA126" s="523">
        <f t="shared" si="29"/>
        <v>0</v>
      </c>
      <c r="AB126" s="523">
        <f t="shared" si="29"/>
        <v>0</v>
      </c>
      <c r="AC126" s="523">
        <f t="shared" si="29"/>
        <v>0</v>
      </c>
      <c r="AD126" s="523">
        <f t="shared" si="29"/>
        <v>0</v>
      </c>
      <c r="AE126" s="523">
        <f t="shared" si="29"/>
        <v>0</v>
      </c>
      <c r="AF126" s="523">
        <f t="shared" si="29"/>
        <v>0</v>
      </c>
      <c r="AG126" s="523">
        <f t="shared" si="29"/>
        <v>0</v>
      </c>
      <c r="AH126" s="523">
        <f t="shared" si="29"/>
        <v>0</v>
      </c>
      <c r="AI126" s="523">
        <f t="shared" si="29"/>
        <v>0</v>
      </c>
      <c r="AJ126" s="523">
        <f t="shared" si="29"/>
        <v>0</v>
      </c>
      <c r="AK126" s="523">
        <f t="shared" si="29"/>
        <v>0</v>
      </c>
      <c r="AL126" s="523">
        <f t="shared" si="29"/>
        <v>0</v>
      </c>
      <c r="AM126" s="523">
        <f t="shared" si="29"/>
        <v>0</v>
      </c>
      <c r="AN126" s="523">
        <f t="shared" si="29"/>
        <v>0</v>
      </c>
      <c r="AO126" s="523">
        <f t="shared" si="29"/>
        <v>0</v>
      </c>
      <c r="AP126" s="523">
        <f t="shared" si="29"/>
        <v>0</v>
      </c>
      <c r="AQ126" s="523">
        <f t="shared" si="30"/>
        <v>0</v>
      </c>
      <c r="AR126" s="523">
        <f t="shared" si="30"/>
        <v>0</v>
      </c>
      <c r="AS126" s="523">
        <f t="shared" si="30"/>
        <v>0</v>
      </c>
      <c r="AT126" s="523">
        <f t="shared" si="30"/>
        <v>0</v>
      </c>
      <c r="AU126" s="523">
        <f t="shared" si="30"/>
        <v>0</v>
      </c>
      <c r="AV126" s="523">
        <f t="shared" si="30"/>
        <v>0</v>
      </c>
      <c r="AW126" s="523">
        <f t="shared" si="30"/>
        <v>0</v>
      </c>
      <c r="AX126" s="523">
        <f t="shared" si="30"/>
        <v>0</v>
      </c>
      <c r="AY126" s="523">
        <f t="shared" si="30"/>
        <v>0</v>
      </c>
      <c r="AZ126" s="523">
        <f t="shared" si="30"/>
        <v>0</v>
      </c>
      <c r="BA126" s="523">
        <f t="shared" si="30"/>
        <v>0</v>
      </c>
      <c r="BB126" s="523">
        <f t="shared" si="30"/>
        <v>0</v>
      </c>
      <c r="BC126" s="523">
        <f t="shared" si="30"/>
        <v>0</v>
      </c>
      <c r="BD126" s="523">
        <f t="shared" si="30"/>
        <v>0</v>
      </c>
      <c r="BE126" s="523">
        <f t="shared" si="30"/>
        <v>0</v>
      </c>
      <c r="BF126" s="523">
        <f t="shared" si="30"/>
        <v>0</v>
      </c>
      <c r="BG126" s="523">
        <f t="shared" si="31"/>
        <v>0</v>
      </c>
      <c r="BH126" s="525">
        <f t="shared" si="31"/>
        <v>0</v>
      </c>
    </row>
    <row r="127" spans="2:60" x14ac:dyDescent="0.25">
      <c r="B127" s="567" t="s">
        <v>1641</v>
      </c>
      <c r="C127" s="921">
        <f>'Input data'!C40</f>
        <v>0</v>
      </c>
      <c r="D127" s="921"/>
      <c r="E127" s="922"/>
      <c r="F127" s="527" t="s">
        <v>1529</v>
      </c>
      <c r="G127" s="613"/>
      <c r="H127" s="613"/>
      <c r="J127" s="527"/>
      <c r="K127" s="523">
        <f>IF(K$115&gt;($G127-1),IF(K$115&lt;($H127+1),$C127,0),0)</f>
        <v>0</v>
      </c>
      <c r="L127" s="523">
        <f t="shared" ref="L127:BH127" si="32">IF(L$115&gt;($G127-1),IF(L$115&lt;($H127+1),$C127,0),0)</f>
        <v>0</v>
      </c>
      <c r="M127" s="523">
        <f t="shared" si="32"/>
        <v>0</v>
      </c>
      <c r="N127" s="523">
        <f t="shared" si="32"/>
        <v>0</v>
      </c>
      <c r="O127" s="523">
        <f t="shared" si="32"/>
        <v>0</v>
      </c>
      <c r="P127" s="523">
        <f t="shared" si="32"/>
        <v>0</v>
      </c>
      <c r="Q127" s="523">
        <f t="shared" si="32"/>
        <v>0</v>
      </c>
      <c r="R127" s="523">
        <f t="shared" si="32"/>
        <v>0</v>
      </c>
      <c r="S127" s="523">
        <f t="shared" si="32"/>
        <v>0</v>
      </c>
      <c r="T127" s="523">
        <f t="shared" si="32"/>
        <v>0</v>
      </c>
      <c r="U127" s="523">
        <f t="shared" si="32"/>
        <v>0</v>
      </c>
      <c r="V127" s="523">
        <f t="shared" si="32"/>
        <v>0</v>
      </c>
      <c r="W127" s="523">
        <f t="shared" si="32"/>
        <v>0</v>
      </c>
      <c r="X127" s="523">
        <f t="shared" si="32"/>
        <v>0</v>
      </c>
      <c r="Y127" s="523">
        <f t="shared" si="32"/>
        <v>0</v>
      </c>
      <c r="Z127" s="523">
        <f t="shared" si="32"/>
        <v>0</v>
      </c>
      <c r="AA127" s="523">
        <f t="shared" si="32"/>
        <v>0</v>
      </c>
      <c r="AB127" s="523">
        <f t="shared" si="32"/>
        <v>0</v>
      </c>
      <c r="AC127" s="523">
        <f t="shared" si="32"/>
        <v>0</v>
      </c>
      <c r="AD127" s="523">
        <f t="shared" si="32"/>
        <v>0</v>
      </c>
      <c r="AE127" s="523">
        <f t="shared" si="32"/>
        <v>0</v>
      </c>
      <c r="AF127" s="523">
        <f t="shared" si="32"/>
        <v>0</v>
      </c>
      <c r="AG127" s="523">
        <f t="shared" si="32"/>
        <v>0</v>
      </c>
      <c r="AH127" s="523">
        <f t="shared" si="32"/>
        <v>0</v>
      </c>
      <c r="AI127" s="523">
        <f t="shared" si="32"/>
        <v>0</v>
      </c>
      <c r="AJ127" s="523">
        <f t="shared" si="32"/>
        <v>0</v>
      </c>
      <c r="AK127" s="523">
        <f t="shared" si="32"/>
        <v>0</v>
      </c>
      <c r="AL127" s="523">
        <f t="shared" si="32"/>
        <v>0</v>
      </c>
      <c r="AM127" s="523">
        <f t="shared" si="32"/>
        <v>0</v>
      </c>
      <c r="AN127" s="523">
        <f t="shared" si="32"/>
        <v>0</v>
      </c>
      <c r="AO127" s="523">
        <f t="shared" si="32"/>
        <v>0</v>
      </c>
      <c r="AP127" s="523">
        <f t="shared" si="32"/>
        <v>0</v>
      </c>
      <c r="AQ127" s="523">
        <f t="shared" si="32"/>
        <v>0</v>
      </c>
      <c r="AR127" s="523">
        <f t="shared" si="32"/>
        <v>0</v>
      </c>
      <c r="AS127" s="523">
        <f t="shared" si="32"/>
        <v>0</v>
      </c>
      <c r="AT127" s="523">
        <f t="shared" si="32"/>
        <v>0</v>
      </c>
      <c r="AU127" s="523">
        <f t="shared" si="32"/>
        <v>0</v>
      </c>
      <c r="AV127" s="523">
        <f t="shared" si="32"/>
        <v>0</v>
      </c>
      <c r="AW127" s="523">
        <f t="shared" si="32"/>
        <v>0</v>
      </c>
      <c r="AX127" s="523">
        <f t="shared" si="32"/>
        <v>0</v>
      </c>
      <c r="AY127" s="523">
        <f t="shared" si="32"/>
        <v>0</v>
      </c>
      <c r="AZ127" s="523">
        <f t="shared" si="32"/>
        <v>0</v>
      </c>
      <c r="BA127" s="523">
        <f t="shared" si="32"/>
        <v>0</v>
      </c>
      <c r="BB127" s="523">
        <f t="shared" si="32"/>
        <v>0</v>
      </c>
      <c r="BC127" s="523">
        <f t="shared" si="32"/>
        <v>0</v>
      </c>
      <c r="BD127" s="523">
        <f t="shared" si="32"/>
        <v>0</v>
      </c>
      <c r="BE127" s="523">
        <f t="shared" si="32"/>
        <v>0</v>
      </c>
      <c r="BF127" s="523">
        <f t="shared" si="32"/>
        <v>0</v>
      </c>
      <c r="BG127" s="523">
        <f t="shared" si="32"/>
        <v>0</v>
      </c>
      <c r="BH127" s="523">
        <f t="shared" si="32"/>
        <v>0</v>
      </c>
    </row>
    <row r="128" spans="2:60" s="627" customFormat="1" ht="11.25" x14ac:dyDescent="0.25">
      <c r="B128" s="923" t="s">
        <v>1525</v>
      </c>
      <c r="C128" s="924"/>
      <c r="D128" s="924"/>
      <c r="E128" s="924"/>
      <c r="F128" s="925"/>
      <c r="J128" s="578">
        <f t="shared" ref="J128:BH128" si="33">SUM(J117:J127)</f>
        <v>0</v>
      </c>
      <c r="K128" s="578">
        <f>SUM(K117:K127)</f>
        <v>0</v>
      </c>
      <c r="L128" s="578">
        <f t="shared" si="33"/>
        <v>0</v>
      </c>
      <c r="M128" s="578">
        <f t="shared" si="33"/>
        <v>0</v>
      </c>
      <c r="N128" s="578">
        <f t="shared" si="33"/>
        <v>0</v>
      </c>
      <c r="O128" s="578">
        <f t="shared" si="33"/>
        <v>0</v>
      </c>
      <c r="P128" s="578">
        <f t="shared" si="33"/>
        <v>0</v>
      </c>
      <c r="Q128" s="578">
        <f t="shared" si="33"/>
        <v>0</v>
      </c>
      <c r="R128" s="578">
        <f t="shared" si="33"/>
        <v>0</v>
      </c>
      <c r="S128" s="578">
        <f t="shared" si="33"/>
        <v>0</v>
      </c>
      <c r="T128" s="578">
        <f t="shared" si="33"/>
        <v>0</v>
      </c>
      <c r="U128" s="578">
        <f t="shared" si="33"/>
        <v>0</v>
      </c>
      <c r="V128" s="578">
        <f t="shared" si="33"/>
        <v>0</v>
      </c>
      <c r="W128" s="578">
        <f t="shared" si="33"/>
        <v>0</v>
      </c>
      <c r="X128" s="578">
        <f t="shared" si="33"/>
        <v>0</v>
      </c>
      <c r="Y128" s="578">
        <f t="shared" si="33"/>
        <v>0</v>
      </c>
      <c r="Z128" s="578">
        <f t="shared" si="33"/>
        <v>0</v>
      </c>
      <c r="AA128" s="578">
        <f t="shared" si="33"/>
        <v>0</v>
      </c>
      <c r="AB128" s="578">
        <f t="shared" si="33"/>
        <v>0</v>
      </c>
      <c r="AC128" s="578">
        <f t="shared" si="33"/>
        <v>0</v>
      </c>
      <c r="AD128" s="578">
        <f t="shared" si="33"/>
        <v>0</v>
      </c>
      <c r="AE128" s="578">
        <f t="shared" si="33"/>
        <v>0</v>
      </c>
      <c r="AF128" s="578">
        <f t="shared" si="33"/>
        <v>0</v>
      </c>
      <c r="AG128" s="578">
        <f t="shared" si="33"/>
        <v>0</v>
      </c>
      <c r="AH128" s="578">
        <f t="shared" si="33"/>
        <v>0</v>
      </c>
      <c r="AI128" s="578">
        <f t="shared" si="33"/>
        <v>0</v>
      </c>
      <c r="AJ128" s="578">
        <f t="shared" si="33"/>
        <v>0</v>
      </c>
      <c r="AK128" s="578">
        <f t="shared" si="33"/>
        <v>0</v>
      </c>
      <c r="AL128" s="578">
        <f t="shared" si="33"/>
        <v>0</v>
      </c>
      <c r="AM128" s="578">
        <f t="shared" si="33"/>
        <v>0</v>
      </c>
      <c r="AN128" s="578">
        <f t="shared" si="33"/>
        <v>0</v>
      </c>
      <c r="AO128" s="578">
        <f t="shared" si="33"/>
        <v>0</v>
      </c>
      <c r="AP128" s="578">
        <f t="shared" si="33"/>
        <v>0</v>
      </c>
      <c r="AQ128" s="578">
        <f t="shared" si="33"/>
        <v>0</v>
      </c>
      <c r="AR128" s="578">
        <f t="shared" si="33"/>
        <v>0</v>
      </c>
      <c r="AS128" s="578">
        <f t="shared" si="33"/>
        <v>0</v>
      </c>
      <c r="AT128" s="578">
        <f t="shared" si="33"/>
        <v>0</v>
      </c>
      <c r="AU128" s="578">
        <f t="shared" si="33"/>
        <v>0</v>
      </c>
      <c r="AV128" s="578">
        <f t="shared" si="33"/>
        <v>0</v>
      </c>
      <c r="AW128" s="578">
        <f t="shared" si="33"/>
        <v>0</v>
      </c>
      <c r="AX128" s="578">
        <f t="shared" si="33"/>
        <v>0</v>
      </c>
      <c r="AY128" s="578">
        <f t="shared" si="33"/>
        <v>0</v>
      </c>
      <c r="AZ128" s="578">
        <f t="shared" si="33"/>
        <v>0</v>
      </c>
      <c r="BA128" s="578">
        <f t="shared" si="33"/>
        <v>0</v>
      </c>
      <c r="BB128" s="578">
        <f t="shared" si="33"/>
        <v>0</v>
      </c>
      <c r="BC128" s="578">
        <f t="shared" si="33"/>
        <v>0</v>
      </c>
      <c r="BD128" s="578">
        <f t="shared" si="33"/>
        <v>0</v>
      </c>
      <c r="BE128" s="578">
        <f t="shared" si="33"/>
        <v>0</v>
      </c>
      <c r="BF128" s="578">
        <f t="shared" si="33"/>
        <v>0</v>
      </c>
      <c r="BG128" s="578">
        <f t="shared" si="33"/>
        <v>0</v>
      </c>
      <c r="BH128" s="578">
        <f t="shared" si="33"/>
        <v>0</v>
      </c>
    </row>
    <row r="129" spans="2:60" ht="4.9000000000000004" customHeight="1" x14ac:dyDescent="0.25">
      <c r="J129" s="532"/>
      <c r="K129" s="532"/>
      <c r="L129" s="532"/>
      <c r="M129" s="532"/>
      <c r="N129" s="532"/>
      <c r="O129" s="532"/>
      <c r="P129" s="532"/>
      <c r="Q129" s="532"/>
      <c r="R129" s="532"/>
      <c r="S129" s="532"/>
      <c r="T129" s="532"/>
      <c r="U129" s="532"/>
      <c r="V129" s="532"/>
      <c r="W129" s="532"/>
      <c r="X129" s="532"/>
      <c r="Y129" s="532"/>
      <c r="Z129" s="532"/>
      <c r="AA129" s="532"/>
      <c r="AB129" s="532"/>
      <c r="AC129" s="532"/>
      <c r="AD129" s="532"/>
      <c r="AE129" s="532"/>
      <c r="AF129" s="532"/>
      <c r="AG129" s="532"/>
      <c r="AH129" s="532"/>
      <c r="AI129" s="532"/>
      <c r="AJ129" s="532"/>
      <c r="AK129" s="532"/>
      <c r="AL129" s="532"/>
      <c r="AM129" s="532"/>
      <c r="AN129" s="532"/>
    </row>
    <row r="130" spans="2:60" outlineLevel="1" x14ac:dyDescent="0.25">
      <c r="B130" s="548" t="s">
        <v>1526</v>
      </c>
      <c r="J130" s="519">
        <v>0</v>
      </c>
      <c r="K130" s="520">
        <v>1</v>
      </c>
      <c r="L130" s="520">
        <v>2</v>
      </c>
      <c r="M130" s="520">
        <v>3</v>
      </c>
      <c r="N130" s="520">
        <v>4</v>
      </c>
      <c r="O130" s="520">
        <v>5</v>
      </c>
      <c r="P130" s="520">
        <v>6</v>
      </c>
      <c r="Q130" s="520">
        <v>7</v>
      </c>
      <c r="R130" s="520">
        <v>8</v>
      </c>
      <c r="S130" s="520">
        <v>9</v>
      </c>
      <c r="T130" s="520">
        <v>10</v>
      </c>
      <c r="U130" s="520">
        <v>11</v>
      </c>
      <c r="V130" s="520">
        <v>12</v>
      </c>
      <c r="W130" s="520">
        <v>13</v>
      </c>
      <c r="X130" s="520">
        <v>14</v>
      </c>
      <c r="Y130" s="520">
        <v>15</v>
      </c>
      <c r="Z130" s="520">
        <v>16</v>
      </c>
      <c r="AA130" s="520">
        <v>17</v>
      </c>
      <c r="AB130" s="520">
        <v>18</v>
      </c>
      <c r="AC130" s="520">
        <v>19</v>
      </c>
      <c r="AD130" s="520">
        <v>20</v>
      </c>
      <c r="AE130" s="520">
        <v>21</v>
      </c>
      <c r="AF130" s="520">
        <v>22</v>
      </c>
      <c r="AG130" s="520">
        <v>23</v>
      </c>
      <c r="AH130" s="520">
        <v>24</v>
      </c>
      <c r="AI130" s="520">
        <v>25</v>
      </c>
      <c r="AJ130" s="520">
        <v>26</v>
      </c>
      <c r="AK130" s="520">
        <v>27</v>
      </c>
      <c r="AL130" s="520">
        <v>28</v>
      </c>
      <c r="AM130" s="520">
        <v>29</v>
      </c>
      <c r="AN130" s="520">
        <v>30</v>
      </c>
      <c r="AO130" s="520">
        <v>31</v>
      </c>
      <c r="AP130" s="520">
        <v>32</v>
      </c>
      <c r="AQ130" s="520">
        <v>33</v>
      </c>
      <c r="AR130" s="520">
        <v>34</v>
      </c>
      <c r="AS130" s="520">
        <v>35</v>
      </c>
      <c r="AT130" s="520">
        <v>36</v>
      </c>
      <c r="AU130" s="520">
        <v>37</v>
      </c>
      <c r="AV130" s="520">
        <v>38</v>
      </c>
      <c r="AW130" s="520">
        <v>39</v>
      </c>
      <c r="AX130" s="520">
        <v>40</v>
      </c>
      <c r="AY130" s="520">
        <v>41</v>
      </c>
      <c r="AZ130" s="520">
        <v>42</v>
      </c>
      <c r="BA130" s="520">
        <v>43</v>
      </c>
      <c r="BB130" s="520">
        <v>44</v>
      </c>
      <c r="BC130" s="520">
        <v>45</v>
      </c>
      <c r="BD130" s="520">
        <v>46</v>
      </c>
      <c r="BE130" s="520">
        <v>47</v>
      </c>
      <c r="BF130" s="520">
        <v>48</v>
      </c>
      <c r="BG130" s="520">
        <v>49</v>
      </c>
      <c r="BH130" s="520">
        <v>50</v>
      </c>
    </row>
    <row r="131" spans="2:60" outlineLevel="1" x14ac:dyDescent="0.25">
      <c r="B131" s="614">
        <f t="shared" ref="B131:B141" si="34">B117</f>
        <v>0</v>
      </c>
      <c r="J131" s="536"/>
      <c r="K131" s="602"/>
      <c r="L131" s="602"/>
      <c r="M131" s="602"/>
      <c r="N131" s="602"/>
      <c r="O131" s="602"/>
      <c r="P131" s="602"/>
      <c r="Q131" s="602"/>
      <c r="R131" s="602"/>
      <c r="S131" s="602"/>
      <c r="T131" s="602"/>
      <c r="U131" s="602"/>
      <c r="V131" s="602"/>
      <c r="W131" s="602"/>
      <c r="X131" s="602"/>
      <c r="Y131" s="602"/>
      <c r="Z131" s="602"/>
      <c r="AA131" s="602"/>
      <c r="AB131" s="602"/>
      <c r="AC131" s="602"/>
      <c r="AD131" s="602"/>
      <c r="AE131" s="602"/>
      <c r="AF131" s="602"/>
      <c r="AG131" s="602"/>
      <c r="AH131" s="602"/>
      <c r="AI131" s="602"/>
      <c r="AJ131" s="602"/>
      <c r="AK131" s="602"/>
      <c r="AL131" s="602"/>
      <c r="AM131" s="602"/>
      <c r="AN131" s="602"/>
      <c r="AO131" s="602"/>
      <c r="AP131" s="602"/>
      <c r="AQ131" s="602"/>
      <c r="AR131" s="602"/>
      <c r="AS131" s="602"/>
      <c r="AT131" s="602"/>
      <c r="AU131" s="602"/>
      <c r="AV131" s="602"/>
      <c r="AW131" s="602"/>
      <c r="AX131" s="602"/>
      <c r="AY131" s="602"/>
      <c r="AZ131" s="602"/>
      <c r="BA131" s="602"/>
      <c r="BB131" s="602"/>
      <c r="BC131" s="602"/>
      <c r="BD131" s="602"/>
      <c r="BE131" s="602"/>
      <c r="BF131" s="602"/>
      <c r="BG131" s="602"/>
      <c r="BH131" s="603"/>
    </row>
    <row r="132" spans="2:60" outlineLevel="1" x14ac:dyDescent="0.25">
      <c r="B132" s="615">
        <f t="shared" si="34"/>
        <v>0</v>
      </c>
      <c r="J132" s="522"/>
      <c r="K132" s="602"/>
      <c r="L132" s="602"/>
      <c r="M132" s="602"/>
      <c r="N132" s="602"/>
      <c r="O132" s="602"/>
      <c r="P132" s="602"/>
      <c r="Q132" s="602"/>
      <c r="R132" s="602"/>
      <c r="S132" s="602"/>
      <c r="T132" s="602"/>
      <c r="U132" s="602"/>
      <c r="V132" s="602"/>
      <c r="W132" s="602"/>
      <c r="X132" s="602"/>
      <c r="Y132" s="602"/>
      <c r="Z132" s="602"/>
      <c r="AA132" s="602"/>
      <c r="AB132" s="602"/>
      <c r="AC132" s="602"/>
      <c r="AD132" s="602"/>
      <c r="AE132" s="602"/>
      <c r="AF132" s="602"/>
      <c r="AG132" s="602"/>
      <c r="AH132" s="602"/>
      <c r="AI132" s="602"/>
      <c r="AJ132" s="602"/>
      <c r="AK132" s="602"/>
      <c r="AL132" s="602"/>
      <c r="AM132" s="602"/>
      <c r="AN132" s="602"/>
      <c r="AO132" s="602"/>
      <c r="AP132" s="602"/>
      <c r="AQ132" s="602"/>
      <c r="AR132" s="602"/>
      <c r="AS132" s="602"/>
      <c r="AT132" s="602"/>
      <c r="AU132" s="602"/>
      <c r="AV132" s="602"/>
      <c r="AW132" s="602"/>
      <c r="AX132" s="602"/>
      <c r="AY132" s="602"/>
      <c r="AZ132" s="602"/>
      <c r="BA132" s="602"/>
      <c r="BB132" s="602"/>
      <c r="BC132" s="602"/>
      <c r="BD132" s="602"/>
      <c r="BE132" s="602"/>
      <c r="BF132" s="602"/>
      <c r="BG132" s="602"/>
      <c r="BH132" s="604"/>
    </row>
    <row r="133" spans="2:60" outlineLevel="1" x14ac:dyDescent="0.25">
      <c r="B133" s="616">
        <f t="shared" si="34"/>
        <v>0</v>
      </c>
      <c r="J133" s="522"/>
      <c r="K133" s="602"/>
      <c r="L133" s="602"/>
      <c r="M133" s="602"/>
      <c r="N133" s="602"/>
      <c r="O133" s="602"/>
      <c r="P133" s="602"/>
      <c r="Q133" s="602"/>
      <c r="R133" s="602"/>
      <c r="S133" s="602"/>
      <c r="T133" s="602"/>
      <c r="U133" s="602"/>
      <c r="V133" s="602"/>
      <c r="W133" s="602"/>
      <c r="X133" s="602"/>
      <c r="Y133" s="602"/>
      <c r="Z133" s="602"/>
      <c r="AA133" s="602"/>
      <c r="AB133" s="602"/>
      <c r="AC133" s="602"/>
      <c r="AD133" s="602"/>
      <c r="AE133" s="602"/>
      <c r="AF133" s="602"/>
      <c r="AG133" s="602"/>
      <c r="AH133" s="602"/>
      <c r="AI133" s="602"/>
      <c r="AJ133" s="602"/>
      <c r="AK133" s="602"/>
      <c r="AL133" s="602"/>
      <c r="AM133" s="602"/>
      <c r="AN133" s="602"/>
      <c r="AO133" s="602"/>
      <c r="AP133" s="602"/>
      <c r="AQ133" s="602"/>
      <c r="AR133" s="602"/>
      <c r="AS133" s="602"/>
      <c r="AT133" s="602"/>
      <c r="AU133" s="602"/>
      <c r="AV133" s="602"/>
      <c r="AW133" s="602"/>
      <c r="AX133" s="602"/>
      <c r="AY133" s="602"/>
      <c r="AZ133" s="602"/>
      <c r="BA133" s="602"/>
      <c r="BB133" s="602"/>
      <c r="BC133" s="602"/>
      <c r="BD133" s="602"/>
      <c r="BE133" s="602"/>
      <c r="BF133" s="602"/>
      <c r="BG133" s="602"/>
      <c r="BH133" s="604"/>
    </row>
    <row r="134" spans="2:60" outlineLevel="1" x14ac:dyDescent="0.25">
      <c r="B134" s="615">
        <f t="shared" si="34"/>
        <v>0</v>
      </c>
      <c r="J134" s="522"/>
      <c r="K134" s="602"/>
      <c r="L134" s="602"/>
      <c r="M134" s="602"/>
      <c r="N134" s="602"/>
      <c r="O134" s="602"/>
      <c r="P134" s="602"/>
      <c r="Q134" s="602"/>
      <c r="R134" s="602"/>
      <c r="S134" s="602"/>
      <c r="T134" s="602"/>
      <c r="U134" s="602"/>
      <c r="V134" s="602"/>
      <c r="W134" s="602"/>
      <c r="X134" s="602"/>
      <c r="Y134" s="602"/>
      <c r="Z134" s="602"/>
      <c r="AA134" s="602"/>
      <c r="AB134" s="602"/>
      <c r="AC134" s="602"/>
      <c r="AD134" s="602"/>
      <c r="AE134" s="602"/>
      <c r="AF134" s="602"/>
      <c r="AG134" s="602"/>
      <c r="AH134" s="602"/>
      <c r="AI134" s="602"/>
      <c r="AJ134" s="602"/>
      <c r="AK134" s="602"/>
      <c r="AL134" s="602"/>
      <c r="AM134" s="602"/>
      <c r="AN134" s="602"/>
      <c r="AO134" s="602"/>
      <c r="AP134" s="602"/>
      <c r="AQ134" s="602"/>
      <c r="AR134" s="602"/>
      <c r="AS134" s="602"/>
      <c r="AT134" s="602"/>
      <c r="AU134" s="602"/>
      <c r="AV134" s="602"/>
      <c r="AW134" s="602"/>
      <c r="AX134" s="602"/>
      <c r="AY134" s="602"/>
      <c r="AZ134" s="602"/>
      <c r="BA134" s="602"/>
      <c r="BB134" s="602"/>
      <c r="BC134" s="602"/>
      <c r="BD134" s="602"/>
      <c r="BE134" s="602"/>
      <c r="BF134" s="602"/>
      <c r="BG134" s="602"/>
      <c r="BH134" s="604"/>
    </row>
    <row r="135" spans="2:60" outlineLevel="1" x14ac:dyDescent="0.25">
      <c r="B135" s="615">
        <f t="shared" si="34"/>
        <v>0</v>
      </c>
      <c r="J135" s="522"/>
      <c r="K135" s="602"/>
      <c r="L135" s="602"/>
      <c r="M135" s="602"/>
      <c r="N135" s="602"/>
      <c r="O135" s="602"/>
      <c r="P135" s="602"/>
      <c r="Q135" s="602"/>
      <c r="R135" s="602"/>
      <c r="S135" s="602"/>
      <c r="T135" s="602"/>
      <c r="U135" s="602"/>
      <c r="V135" s="602"/>
      <c r="W135" s="602"/>
      <c r="X135" s="602"/>
      <c r="Y135" s="602"/>
      <c r="Z135" s="602"/>
      <c r="AA135" s="602"/>
      <c r="AB135" s="602"/>
      <c r="AC135" s="602"/>
      <c r="AD135" s="602"/>
      <c r="AE135" s="602"/>
      <c r="AF135" s="602"/>
      <c r="AG135" s="602"/>
      <c r="AH135" s="602"/>
      <c r="AI135" s="602"/>
      <c r="AJ135" s="602"/>
      <c r="AK135" s="602"/>
      <c r="AL135" s="602"/>
      <c r="AM135" s="602"/>
      <c r="AN135" s="602"/>
      <c r="AO135" s="602"/>
      <c r="AP135" s="602"/>
      <c r="AQ135" s="602"/>
      <c r="AR135" s="602"/>
      <c r="AS135" s="602"/>
      <c r="AT135" s="602"/>
      <c r="AU135" s="602"/>
      <c r="AV135" s="602"/>
      <c r="AW135" s="602"/>
      <c r="AX135" s="602"/>
      <c r="AY135" s="602"/>
      <c r="AZ135" s="602"/>
      <c r="BA135" s="602"/>
      <c r="BB135" s="602"/>
      <c r="BC135" s="602"/>
      <c r="BD135" s="602"/>
      <c r="BE135" s="602"/>
      <c r="BF135" s="602"/>
      <c r="BG135" s="602"/>
      <c r="BH135" s="604"/>
    </row>
    <row r="136" spans="2:60" outlineLevel="1" x14ac:dyDescent="0.25">
      <c r="B136" s="615">
        <f t="shared" si="34"/>
        <v>0</v>
      </c>
      <c r="J136" s="522"/>
      <c r="K136" s="602"/>
      <c r="L136" s="602"/>
      <c r="M136" s="602"/>
      <c r="N136" s="602"/>
      <c r="O136" s="602"/>
      <c r="P136" s="602"/>
      <c r="Q136" s="602"/>
      <c r="R136" s="602"/>
      <c r="S136" s="602"/>
      <c r="T136" s="602"/>
      <c r="U136" s="602"/>
      <c r="V136" s="602"/>
      <c r="W136" s="602"/>
      <c r="X136" s="602"/>
      <c r="Y136" s="602"/>
      <c r="Z136" s="602"/>
      <c r="AA136" s="602"/>
      <c r="AB136" s="602"/>
      <c r="AC136" s="602"/>
      <c r="AD136" s="602"/>
      <c r="AE136" s="602"/>
      <c r="AF136" s="602"/>
      <c r="AG136" s="602"/>
      <c r="AH136" s="602"/>
      <c r="AI136" s="602"/>
      <c r="AJ136" s="602"/>
      <c r="AK136" s="602"/>
      <c r="AL136" s="602"/>
      <c r="AM136" s="602"/>
      <c r="AN136" s="602"/>
      <c r="AO136" s="602"/>
      <c r="AP136" s="602"/>
      <c r="AQ136" s="602"/>
      <c r="AR136" s="602"/>
      <c r="AS136" s="602"/>
      <c r="AT136" s="602"/>
      <c r="AU136" s="602"/>
      <c r="AV136" s="602"/>
      <c r="AW136" s="602"/>
      <c r="AX136" s="602"/>
      <c r="AY136" s="602"/>
      <c r="AZ136" s="602"/>
      <c r="BA136" s="602"/>
      <c r="BB136" s="602"/>
      <c r="BC136" s="602"/>
      <c r="BD136" s="602"/>
      <c r="BE136" s="602"/>
      <c r="BF136" s="602"/>
      <c r="BG136" s="602"/>
      <c r="BH136" s="604"/>
    </row>
    <row r="137" spans="2:60" outlineLevel="1" x14ac:dyDescent="0.25">
      <c r="B137" s="615">
        <f t="shared" si="34"/>
        <v>0</v>
      </c>
      <c r="J137" s="522"/>
      <c r="K137" s="602"/>
      <c r="L137" s="602"/>
      <c r="M137" s="602"/>
      <c r="N137" s="602"/>
      <c r="O137" s="602"/>
      <c r="P137" s="602"/>
      <c r="Q137" s="602"/>
      <c r="R137" s="602"/>
      <c r="S137" s="602"/>
      <c r="T137" s="602"/>
      <c r="U137" s="602"/>
      <c r="V137" s="602"/>
      <c r="W137" s="602"/>
      <c r="X137" s="602"/>
      <c r="Y137" s="602"/>
      <c r="Z137" s="602"/>
      <c r="AA137" s="602"/>
      <c r="AB137" s="602"/>
      <c r="AC137" s="602"/>
      <c r="AD137" s="602"/>
      <c r="AE137" s="602"/>
      <c r="AF137" s="602"/>
      <c r="AG137" s="602"/>
      <c r="AH137" s="602"/>
      <c r="AI137" s="602"/>
      <c r="AJ137" s="602"/>
      <c r="AK137" s="602"/>
      <c r="AL137" s="602"/>
      <c r="AM137" s="602"/>
      <c r="AN137" s="602"/>
      <c r="AO137" s="602"/>
      <c r="AP137" s="602"/>
      <c r="AQ137" s="602"/>
      <c r="AR137" s="602"/>
      <c r="AS137" s="602"/>
      <c r="AT137" s="602"/>
      <c r="AU137" s="602"/>
      <c r="AV137" s="602"/>
      <c r="AW137" s="602"/>
      <c r="AX137" s="602"/>
      <c r="AY137" s="602"/>
      <c r="AZ137" s="602"/>
      <c r="BA137" s="602"/>
      <c r="BB137" s="602"/>
      <c r="BC137" s="602"/>
      <c r="BD137" s="602"/>
      <c r="BE137" s="602"/>
      <c r="BF137" s="602"/>
      <c r="BG137" s="602"/>
      <c r="BH137" s="604"/>
    </row>
    <row r="138" spans="2:60" outlineLevel="1" x14ac:dyDescent="0.25">
      <c r="B138" s="615">
        <f t="shared" si="34"/>
        <v>0</v>
      </c>
      <c r="J138" s="522"/>
      <c r="K138" s="602"/>
      <c r="L138" s="602"/>
      <c r="M138" s="602"/>
      <c r="N138" s="602"/>
      <c r="O138" s="602"/>
      <c r="P138" s="602"/>
      <c r="Q138" s="602"/>
      <c r="R138" s="602"/>
      <c r="S138" s="602"/>
      <c r="T138" s="602"/>
      <c r="U138" s="602"/>
      <c r="V138" s="602"/>
      <c r="W138" s="602"/>
      <c r="X138" s="602"/>
      <c r="Y138" s="602"/>
      <c r="Z138" s="602"/>
      <c r="AA138" s="602"/>
      <c r="AB138" s="602"/>
      <c r="AC138" s="602"/>
      <c r="AD138" s="602"/>
      <c r="AE138" s="602"/>
      <c r="AF138" s="602"/>
      <c r="AG138" s="602"/>
      <c r="AH138" s="602"/>
      <c r="AI138" s="602"/>
      <c r="AJ138" s="602"/>
      <c r="AK138" s="602"/>
      <c r="AL138" s="602"/>
      <c r="AM138" s="602"/>
      <c r="AN138" s="602"/>
      <c r="AO138" s="602"/>
      <c r="AP138" s="602"/>
      <c r="AQ138" s="602"/>
      <c r="AR138" s="602"/>
      <c r="AS138" s="602"/>
      <c r="AT138" s="602"/>
      <c r="AU138" s="602"/>
      <c r="AV138" s="602"/>
      <c r="AW138" s="602"/>
      <c r="AX138" s="602"/>
      <c r="AY138" s="602"/>
      <c r="AZ138" s="602"/>
      <c r="BA138" s="602"/>
      <c r="BB138" s="602"/>
      <c r="BC138" s="602"/>
      <c r="BD138" s="602"/>
      <c r="BE138" s="602"/>
      <c r="BF138" s="602"/>
      <c r="BG138" s="602"/>
      <c r="BH138" s="604"/>
    </row>
    <row r="139" spans="2:60" outlineLevel="1" x14ac:dyDescent="0.25">
      <c r="B139" s="615">
        <f t="shared" si="34"/>
        <v>0</v>
      </c>
      <c r="J139" s="522"/>
      <c r="K139" s="602"/>
      <c r="L139" s="602"/>
      <c r="M139" s="602"/>
      <c r="N139" s="602"/>
      <c r="O139" s="602"/>
      <c r="P139" s="602"/>
      <c r="Q139" s="602"/>
      <c r="R139" s="602"/>
      <c r="S139" s="602"/>
      <c r="T139" s="602"/>
      <c r="U139" s="602"/>
      <c r="V139" s="602"/>
      <c r="W139" s="602"/>
      <c r="X139" s="602"/>
      <c r="Y139" s="602"/>
      <c r="Z139" s="602"/>
      <c r="AA139" s="602"/>
      <c r="AB139" s="602"/>
      <c r="AC139" s="602"/>
      <c r="AD139" s="602"/>
      <c r="AE139" s="602"/>
      <c r="AF139" s="602"/>
      <c r="AG139" s="602"/>
      <c r="AH139" s="602"/>
      <c r="AI139" s="602"/>
      <c r="AJ139" s="602"/>
      <c r="AK139" s="602"/>
      <c r="AL139" s="602"/>
      <c r="AM139" s="602"/>
      <c r="AN139" s="602"/>
      <c r="AO139" s="602"/>
      <c r="AP139" s="602"/>
      <c r="AQ139" s="602"/>
      <c r="AR139" s="602"/>
      <c r="AS139" s="602"/>
      <c r="AT139" s="602"/>
      <c r="AU139" s="602"/>
      <c r="AV139" s="602"/>
      <c r="AW139" s="602"/>
      <c r="AX139" s="602"/>
      <c r="AY139" s="602"/>
      <c r="AZ139" s="602"/>
      <c r="BA139" s="602"/>
      <c r="BB139" s="602"/>
      <c r="BC139" s="602"/>
      <c r="BD139" s="602"/>
      <c r="BE139" s="602"/>
      <c r="BF139" s="602"/>
      <c r="BG139" s="602"/>
      <c r="BH139" s="604"/>
    </row>
    <row r="140" spans="2:60" outlineLevel="1" x14ac:dyDescent="0.25">
      <c r="B140" s="615">
        <f t="shared" si="34"/>
        <v>0</v>
      </c>
      <c r="J140" s="522"/>
      <c r="K140" s="602"/>
      <c r="L140" s="602"/>
      <c r="M140" s="602"/>
      <c r="N140" s="602"/>
      <c r="O140" s="602"/>
      <c r="P140" s="602"/>
      <c r="Q140" s="602"/>
      <c r="R140" s="602"/>
      <c r="S140" s="602"/>
      <c r="T140" s="602"/>
      <c r="U140" s="602"/>
      <c r="V140" s="602"/>
      <c r="W140" s="602"/>
      <c r="X140" s="602"/>
      <c r="Y140" s="602"/>
      <c r="Z140" s="602"/>
      <c r="AA140" s="602"/>
      <c r="AB140" s="602"/>
      <c r="AC140" s="602"/>
      <c r="AD140" s="602"/>
      <c r="AE140" s="602"/>
      <c r="AF140" s="602"/>
      <c r="AG140" s="602"/>
      <c r="AH140" s="602"/>
      <c r="AI140" s="602"/>
      <c r="AJ140" s="602"/>
      <c r="AK140" s="602"/>
      <c r="AL140" s="602"/>
      <c r="AM140" s="602"/>
      <c r="AN140" s="602"/>
      <c r="AO140" s="602"/>
      <c r="AP140" s="602"/>
      <c r="AQ140" s="602"/>
      <c r="AR140" s="602"/>
      <c r="AS140" s="602"/>
      <c r="AT140" s="602"/>
      <c r="AU140" s="602"/>
      <c r="AV140" s="602"/>
      <c r="AW140" s="602"/>
      <c r="AX140" s="602"/>
      <c r="AY140" s="602"/>
      <c r="AZ140" s="602"/>
      <c r="BA140" s="602"/>
      <c r="BB140" s="602"/>
      <c r="BC140" s="602"/>
      <c r="BD140" s="602"/>
      <c r="BE140" s="602"/>
      <c r="BF140" s="602"/>
      <c r="BG140" s="602"/>
      <c r="BH140" s="604"/>
    </row>
    <row r="141" spans="2:60" outlineLevel="1" x14ac:dyDescent="0.25">
      <c r="B141" s="617" t="str">
        <f t="shared" si="34"/>
        <v>Subsidies</v>
      </c>
      <c r="J141" s="551"/>
      <c r="K141" s="605"/>
      <c r="L141" s="606"/>
      <c r="M141" s="606"/>
      <c r="N141" s="606"/>
      <c r="O141" s="606"/>
      <c r="P141" s="606"/>
      <c r="Q141" s="606"/>
      <c r="R141" s="606"/>
      <c r="S141" s="606"/>
      <c r="T141" s="606"/>
      <c r="U141" s="606"/>
      <c r="V141" s="606"/>
      <c r="W141" s="606"/>
      <c r="X141" s="606"/>
      <c r="Y141" s="606"/>
      <c r="Z141" s="606"/>
      <c r="AA141" s="606"/>
      <c r="AB141" s="606"/>
      <c r="AC141" s="606"/>
      <c r="AD141" s="606"/>
      <c r="AE141" s="606"/>
      <c r="AF141" s="606"/>
      <c r="AG141" s="606"/>
      <c r="AH141" s="606"/>
      <c r="AI141" s="606"/>
      <c r="AJ141" s="606"/>
      <c r="AK141" s="606"/>
      <c r="AL141" s="606"/>
      <c r="AM141" s="606"/>
      <c r="AN141" s="606"/>
      <c r="AO141" s="606"/>
      <c r="AP141" s="606"/>
      <c r="AQ141" s="606"/>
      <c r="AR141" s="606"/>
      <c r="AS141" s="606"/>
      <c r="AT141" s="606"/>
      <c r="AU141" s="606"/>
      <c r="AV141" s="606"/>
      <c r="AW141" s="606"/>
      <c r="AX141" s="606"/>
      <c r="AY141" s="606"/>
      <c r="AZ141" s="606"/>
      <c r="BA141" s="606"/>
      <c r="BB141" s="606"/>
      <c r="BC141" s="606"/>
      <c r="BD141" s="606"/>
      <c r="BE141" s="606"/>
      <c r="BF141" s="606"/>
      <c r="BG141" s="606"/>
      <c r="BH141" s="607"/>
    </row>
    <row r="143" spans="2:60" x14ac:dyDescent="0.25">
      <c r="J143" s="519">
        <v>0</v>
      </c>
      <c r="K143" s="520">
        <v>1</v>
      </c>
      <c r="L143" s="520">
        <v>2</v>
      </c>
      <c r="M143" s="520">
        <v>3</v>
      </c>
      <c r="N143" s="520">
        <v>4</v>
      </c>
      <c r="O143" s="520">
        <v>5</v>
      </c>
      <c r="P143" s="520">
        <v>6</v>
      </c>
      <c r="Q143" s="520">
        <v>7</v>
      </c>
      <c r="R143" s="520">
        <v>8</v>
      </c>
      <c r="S143" s="520">
        <v>9</v>
      </c>
      <c r="T143" s="520">
        <v>10</v>
      </c>
      <c r="U143" s="520">
        <v>11</v>
      </c>
      <c r="V143" s="520">
        <v>12</v>
      </c>
      <c r="W143" s="520">
        <v>13</v>
      </c>
      <c r="X143" s="520">
        <v>14</v>
      </c>
      <c r="Y143" s="520">
        <v>15</v>
      </c>
      <c r="Z143" s="520">
        <v>16</v>
      </c>
      <c r="AA143" s="520">
        <v>17</v>
      </c>
      <c r="AB143" s="520">
        <v>18</v>
      </c>
      <c r="AC143" s="520">
        <v>19</v>
      </c>
      <c r="AD143" s="520">
        <v>20</v>
      </c>
      <c r="AE143" s="520">
        <v>21</v>
      </c>
      <c r="AF143" s="520">
        <v>22</v>
      </c>
      <c r="AG143" s="520">
        <v>23</v>
      </c>
      <c r="AH143" s="520">
        <v>24</v>
      </c>
      <c r="AI143" s="520">
        <v>25</v>
      </c>
      <c r="AJ143" s="520">
        <v>26</v>
      </c>
      <c r="AK143" s="520">
        <v>27</v>
      </c>
      <c r="AL143" s="520">
        <v>28</v>
      </c>
      <c r="AM143" s="520">
        <v>29</v>
      </c>
      <c r="AN143" s="520">
        <v>30</v>
      </c>
      <c r="AO143" s="520">
        <v>31</v>
      </c>
      <c r="AP143" s="520">
        <v>32</v>
      </c>
      <c r="AQ143" s="520">
        <v>33</v>
      </c>
      <c r="AR143" s="520">
        <v>34</v>
      </c>
      <c r="AS143" s="520">
        <v>35</v>
      </c>
      <c r="AT143" s="520">
        <v>36</v>
      </c>
      <c r="AU143" s="520">
        <v>37</v>
      </c>
      <c r="AV143" s="520">
        <v>38</v>
      </c>
      <c r="AW143" s="520">
        <v>39</v>
      </c>
      <c r="AX143" s="520">
        <v>40</v>
      </c>
      <c r="AY143" s="520">
        <v>41</v>
      </c>
      <c r="AZ143" s="520">
        <v>42</v>
      </c>
      <c r="BA143" s="520">
        <v>43</v>
      </c>
      <c r="BB143" s="520">
        <v>44</v>
      </c>
      <c r="BC143" s="520">
        <v>45</v>
      </c>
      <c r="BD143" s="520">
        <v>46</v>
      </c>
      <c r="BE143" s="520">
        <v>47</v>
      </c>
      <c r="BF143" s="520">
        <v>48</v>
      </c>
      <c r="BG143" s="520">
        <v>49</v>
      </c>
      <c r="BH143" s="520">
        <v>50</v>
      </c>
    </row>
    <row r="144" spans="2:60" x14ac:dyDescent="0.25">
      <c r="B144" s="915" t="s">
        <v>1527</v>
      </c>
      <c r="C144" s="916"/>
      <c r="E144" s="552" t="s">
        <v>1649</v>
      </c>
      <c r="F144" s="917" t="s">
        <v>1529</v>
      </c>
      <c r="J144" s="618"/>
      <c r="K144" s="619">
        <f>K128</f>
        <v>0</v>
      </c>
      <c r="L144" s="619">
        <f t="shared" ref="L144:BH144" si="35">L128</f>
        <v>0</v>
      </c>
      <c r="M144" s="619">
        <f t="shared" si="35"/>
        <v>0</v>
      </c>
      <c r="N144" s="619">
        <f t="shared" si="35"/>
        <v>0</v>
      </c>
      <c r="O144" s="619">
        <f t="shared" si="35"/>
        <v>0</v>
      </c>
      <c r="P144" s="619">
        <f t="shared" si="35"/>
        <v>0</v>
      </c>
      <c r="Q144" s="619">
        <f t="shared" si="35"/>
        <v>0</v>
      </c>
      <c r="R144" s="619">
        <f t="shared" si="35"/>
        <v>0</v>
      </c>
      <c r="S144" s="619">
        <f t="shared" si="35"/>
        <v>0</v>
      </c>
      <c r="T144" s="619">
        <f t="shared" si="35"/>
        <v>0</v>
      </c>
      <c r="U144" s="619">
        <f t="shared" si="35"/>
        <v>0</v>
      </c>
      <c r="V144" s="619">
        <f t="shared" si="35"/>
        <v>0</v>
      </c>
      <c r="W144" s="619">
        <f t="shared" si="35"/>
        <v>0</v>
      </c>
      <c r="X144" s="619">
        <f t="shared" si="35"/>
        <v>0</v>
      </c>
      <c r="Y144" s="619">
        <f t="shared" si="35"/>
        <v>0</v>
      </c>
      <c r="Z144" s="619">
        <f t="shared" si="35"/>
        <v>0</v>
      </c>
      <c r="AA144" s="619">
        <f t="shared" si="35"/>
        <v>0</v>
      </c>
      <c r="AB144" s="619">
        <f t="shared" si="35"/>
        <v>0</v>
      </c>
      <c r="AC144" s="619">
        <f t="shared" si="35"/>
        <v>0</v>
      </c>
      <c r="AD144" s="619">
        <f t="shared" si="35"/>
        <v>0</v>
      </c>
      <c r="AE144" s="619">
        <f t="shared" si="35"/>
        <v>0</v>
      </c>
      <c r="AF144" s="619">
        <f t="shared" si="35"/>
        <v>0</v>
      </c>
      <c r="AG144" s="619">
        <f t="shared" si="35"/>
        <v>0</v>
      </c>
      <c r="AH144" s="619">
        <f t="shared" si="35"/>
        <v>0</v>
      </c>
      <c r="AI144" s="619">
        <f t="shared" si="35"/>
        <v>0</v>
      </c>
      <c r="AJ144" s="619">
        <f t="shared" si="35"/>
        <v>0</v>
      </c>
      <c r="AK144" s="619">
        <f t="shared" si="35"/>
        <v>0</v>
      </c>
      <c r="AL144" s="619">
        <f t="shared" si="35"/>
        <v>0</v>
      </c>
      <c r="AM144" s="619">
        <f t="shared" si="35"/>
        <v>0</v>
      </c>
      <c r="AN144" s="620">
        <f t="shared" si="35"/>
        <v>0</v>
      </c>
      <c r="AO144" s="620">
        <f t="shared" si="35"/>
        <v>0</v>
      </c>
      <c r="AP144" s="620">
        <f t="shared" si="35"/>
        <v>0</v>
      </c>
      <c r="AQ144" s="620">
        <f t="shared" si="35"/>
        <v>0</v>
      </c>
      <c r="AR144" s="620">
        <f t="shared" si="35"/>
        <v>0</v>
      </c>
      <c r="AS144" s="620">
        <f t="shared" si="35"/>
        <v>0</v>
      </c>
      <c r="AT144" s="620">
        <f t="shared" si="35"/>
        <v>0</v>
      </c>
      <c r="AU144" s="620">
        <f t="shared" si="35"/>
        <v>0</v>
      </c>
      <c r="AV144" s="620">
        <f t="shared" si="35"/>
        <v>0</v>
      </c>
      <c r="AW144" s="620">
        <f t="shared" si="35"/>
        <v>0</v>
      </c>
      <c r="AX144" s="620">
        <f t="shared" si="35"/>
        <v>0</v>
      </c>
      <c r="AY144" s="620">
        <f t="shared" si="35"/>
        <v>0</v>
      </c>
      <c r="AZ144" s="620">
        <f t="shared" si="35"/>
        <v>0</v>
      </c>
      <c r="BA144" s="620">
        <f t="shared" si="35"/>
        <v>0</v>
      </c>
      <c r="BB144" s="620">
        <f t="shared" si="35"/>
        <v>0</v>
      </c>
      <c r="BC144" s="620">
        <f t="shared" si="35"/>
        <v>0</v>
      </c>
      <c r="BD144" s="620">
        <f t="shared" si="35"/>
        <v>0</v>
      </c>
      <c r="BE144" s="620">
        <f t="shared" si="35"/>
        <v>0</v>
      </c>
      <c r="BF144" s="620">
        <f t="shared" si="35"/>
        <v>0</v>
      </c>
      <c r="BG144" s="620">
        <f t="shared" si="35"/>
        <v>0</v>
      </c>
      <c r="BH144" s="620">
        <f t="shared" si="35"/>
        <v>0</v>
      </c>
    </row>
    <row r="145" spans="2:60" x14ac:dyDescent="0.25">
      <c r="B145" s="915" t="s">
        <v>1530</v>
      </c>
      <c r="C145" s="916"/>
      <c r="E145" s="552" t="s">
        <v>1528</v>
      </c>
      <c r="F145" s="919"/>
      <c r="J145" s="621">
        <f>F18</f>
        <v>0</v>
      </c>
      <c r="K145" s="622">
        <f>K49+K112</f>
        <v>0</v>
      </c>
      <c r="L145" s="622">
        <f t="shared" ref="L145:AP145" si="36">L49+L112</f>
        <v>0</v>
      </c>
      <c r="M145" s="622">
        <f t="shared" si="36"/>
        <v>0</v>
      </c>
      <c r="N145" s="622">
        <f t="shared" si="36"/>
        <v>0</v>
      </c>
      <c r="O145" s="622">
        <f t="shared" si="36"/>
        <v>0</v>
      </c>
      <c r="P145" s="622">
        <f t="shared" si="36"/>
        <v>0</v>
      </c>
      <c r="Q145" s="622">
        <f t="shared" si="36"/>
        <v>0</v>
      </c>
      <c r="R145" s="622">
        <f t="shared" si="36"/>
        <v>0</v>
      </c>
      <c r="S145" s="622">
        <f t="shared" si="36"/>
        <v>0</v>
      </c>
      <c r="T145" s="622">
        <f t="shared" si="36"/>
        <v>0</v>
      </c>
      <c r="U145" s="622">
        <f t="shared" si="36"/>
        <v>0</v>
      </c>
      <c r="V145" s="622">
        <f t="shared" si="36"/>
        <v>0</v>
      </c>
      <c r="W145" s="622">
        <f t="shared" si="36"/>
        <v>0</v>
      </c>
      <c r="X145" s="622">
        <f t="shared" si="36"/>
        <v>0</v>
      </c>
      <c r="Y145" s="622">
        <f t="shared" si="36"/>
        <v>0</v>
      </c>
      <c r="Z145" s="622">
        <f t="shared" si="36"/>
        <v>0</v>
      </c>
      <c r="AA145" s="622">
        <f t="shared" si="36"/>
        <v>0</v>
      </c>
      <c r="AB145" s="622">
        <f t="shared" si="36"/>
        <v>0</v>
      </c>
      <c r="AC145" s="622">
        <f t="shared" si="36"/>
        <v>0</v>
      </c>
      <c r="AD145" s="622">
        <f t="shared" si="36"/>
        <v>0</v>
      </c>
      <c r="AE145" s="622">
        <f t="shared" si="36"/>
        <v>0</v>
      </c>
      <c r="AF145" s="622">
        <f t="shared" si="36"/>
        <v>0</v>
      </c>
      <c r="AG145" s="622">
        <f t="shared" si="36"/>
        <v>0</v>
      </c>
      <c r="AH145" s="622">
        <f t="shared" si="36"/>
        <v>0</v>
      </c>
      <c r="AI145" s="622">
        <f t="shared" si="36"/>
        <v>0</v>
      </c>
      <c r="AJ145" s="622">
        <f t="shared" si="36"/>
        <v>0</v>
      </c>
      <c r="AK145" s="622">
        <f t="shared" si="36"/>
        <v>0</v>
      </c>
      <c r="AL145" s="622">
        <f t="shared" si="36"/>
        <v>0</v>
      </c>
      <c r="AM145" s="622">
        <f t="shared" si="36"/>
        <v>0</v>
      </c>
      <c r="AN145" s="623">
        <f t="shared" si="36"/>
        <v>0</v>
      </c>
      <c r="AO145" s="623">
        <f t="shared" si="36"/>
        <v>0</v>
      </c>
      <c r="AP145" s="623">
        <f t="shared" si="36"/>
        <v>0</v>
      </c>
      <c r="AQ145" s="623">
        <f t="shared" ref="AQ145:BH145" si="37">AQ49+AQ112</f>
        <v>0</v>
      </c>
      <c r="AR145" s="623">
        <f t="shared" si="37"/>
        <v>0</v>
      </c>
      <c r="AS145" s="623">
        <f t="shared" si="37"/>
        <v>0</v>
      </c>
      <c r="AT145" s="623">
        <f t="shared" si="37"/>
        <v>0</v>
      </c>
      <c r="AU145" s="623">
        <f t="shared" si="37"/>
        <v>0</v>
      </c>
      <c r="AV145" s="623">
        <f t="shared" si="37"/>
        <v>0</v>
      </c>
      <c r="AW145" s="623">
        <f t="shared" si="37"/>
        <v>0</v>
      </c>
      <c r="AX145" s="623">
        <f t="shared" si="37"/>
        <v>0</v>
      </c>
      <c r="AY145" s="623">
        <f t="shared" si="37"/>
        <v>0</v>
      </c>
      <c r="AZ145" s="623">
        <f t="shared" si="37"/>
        <v>0</v>
      </c>
      <c r="BA145" s="623">
        <f t="shared" si="37"/>
        <v>0</v>
      </c>
      <c r="BB145" s="623">
        <f t="shared" si="37"/>
        <v>0</v>
      </c>
      <c r="BC145" s="623">
        <f t="shared" si="37"/>
        <v>0</v>
      </c>
      <c r="BD145" s="623">
        <f t="shared" si="37"/>
        <v>0</v>
      </c>
      <c r="BE145" s="623">
        <f t="shared" si="37"/>
        <v>0</v>
      </c>
      <c r="BF145" s="623">
        <f t="shared" si="37"/>
        <v>0</v>
      </c>
      <c r="BG145" s="623">
        <f t="shared" si="37"/>
        <v>0</v>
      </c>
      <c r="BH145" s="623">
        <f t="shared" si="37"/>
        <v>0</v>
      </c>
    </row>
    <row r="146" spans="2:60" x14ac:dyDescent="0.25">
      <c r="B146" s="915" t="s">
        <v>1648</v>
      </c>
      <c r="C146" s="916"/>
      <c r="E146" s="552" t="s">
        <v>1650</v>
      </c>
      <c r="F146" s="919"/>
      <c r="J146" s="621"/>
      <c r="K146" s="622">
        <f>(K49-K29-K32)+K112</f>
        <v>0</v>
      </c>
      <c r="L146" s="622">
        <f t="shared" ref="L146:BH146" si="38">(L49-L29-L32)+L112</f>
        <v>0</v>
      </c>
      <c r="M146" s="622">
        <f t="shared" si="38"/>
        <v>0</v>
      </c>
      <c r="N146" s="622">
        <f t="shared" si="38"/>
        <v>0</v>
      </c>
      <c r="O146" s="622">
        <f t="shared" si="38"/>
        <v>0</v>
      </c>
      <c r="P146" s="622">
        <f t="shared" si="38"/>
        <v>0</v>
      </c>
      <c r="Q146" s="622">
        <f t="shared" si="38"/>
        <v>0</v>
      </c>
      <c r="R146" s="622">
        <f t="shared" si="38"/>
        <v>0</v>
      </c>
      <c r="S146" s="622">
        <f t="shared" si="38"/>
        <v>0</v>
      </c>
      <c r="T146" s="622">
        <f t="shared" si="38"/>
        <v>0</v>
      </c>
      <c r="U146" s="622">
        <f t="shared" si="38"/>
        <v>0</v>
      </c>
      <c r="V146" s="622">
        <f t="shared" si="38"/>
        <v>0</v>
      </c>
      <c r="W146" s="622">
        <f t="shared" si="38"/>
        <v>0</v>
      </c>
      <c r="X146" s="622">
        <f t="shared" si="38"/>
        <v>0</v>
      </c>
      <c r="Y146" s="622">
        <f t="shared" si="38"/>
        <v>0</v>
      </c>
      <c r="Z146" s="622">
        <f t="shared" si="38"/>
        <v>0</v>
      </c>
      <c r="AA146" s="622">
        <f t="shared" si="38"/>
        <v>0</v>
      </c>
      <c r="AB146" s="622">
        <f t="shared" si="38"/>
        <v>0</v>
      </c>
      <c r="AC146" s="622">
        <f t="shared" si="38"/>
        <v>0</v>
      </c>
      <c r="AD146" s="622">
        <f t="shared" si="38"/>
        <v>0</v>
      </c>
      <c r="AE146" s="622">
        <f t="shared" si="38"/>
        <v>0</v>
      </c>
      <c r="AF146" s="622">
        <f t="shared" si="38"/>
        <v>0</v>
      </c>
      <c r="AG146" s="622">
        <f t="shared" si="38"/>
        <v>0</v>
      </c>
      <c r="AH146" s="622">
        <f t="shared" si="38"/>
        <v>0</v>
      </c>
      <c r="AI146" s="622">
        <f t="shared" si="38"/>
        <v>0</v>
      </c>
      <c r="AJ146" s="622">
        <f t="shared" si="38"/>
        <v>0</v>
      </c>
      <c r="AK146" s="622">
        <f t="shared" si="38"/>
        <v>0</v>
      </c>
      <c r="AL146" s="622">
        <f t="shared" si="38"/>
        <v>0</v>
      </c>
      <c r="AM146" s="622">
        <f t="shared" si="38"/>
        <v>0</v>
      </c>
      <c r="AN146" s="622">
        <f t="shared" si="38"/>
        <v>0</v>
      </c>
      <c r="AO146" s="622">
        <f t="shared" si="38"/>
        <v>0</v>
      </c>
      <c r="AP146" s="622">
        <f t="shared" si="38"/>
        <v>0</v>
      </c>
      <c r="AQ146" s="622">
        <f t="shared" si="38"/>
        <v>0</v>
      </c>
      <c r="AR146" s="622">
        <f t="shared" si="38"/>
        <v>0</v>
      </c>
      <c r="AS146" s="622">
        <f t="shared" si="38"/>
        <v>0</v>
      </c>
      <c r="AT146" s="622">
        <f t="shared" si="38"/>
        <v>0</v>
      </c>
      <c r="AU146" s="622">
        <f t="shared" si="38"/>
        <v>0</v>
      </c>
      <c r="AV146" s="622">
        <f t="shared" si="38"/>
        <v>0</v>
      </c>
      <c r="AW146" s="622">
        <f t="shared" si="38"/>
        <v>0</v>
      </c>
      <c r="AX146" s="622">
        <f t="shared" si="38"/>
        <v>0</v>
      </c>
      <c r="AY146" s="622">
        <f t="shared" si="38"/>
        <v>0</v>
      </c>
      <c r="AZ146" s="622">
        <f t="shared" si="38"/>
        <v>0</v>
      </c>
      <c r="BA146" s="622">
        <f t="shared" si="38"/>
        <v>0</v>
      </c>
      <c r="BB146" s="622">
        <f t="shared" si="38"/>
        <v>0</v>
      </c>
      <c r="BC146" s="622">
        <f t="shared" si="38"/>
        <v>0</v>
      </c>
      <c r="BD146" s="622">
        <f t="shared" si="38"/>
        <v>0</v>
      </c>
      <c r="BE146" s="622">
        <f t="shared" si="38"/>
        <v>0</v>
      </c>
      <c r="BF146" s="622">
        <f t="shared" si="38"/>
        <v>0</v>
      </c>
      <c r="BG146" s="622">
        <f t="shared" si="38"/>
        <v>0</v>
      </c>
      <c r="BH146" s="622">
        <f t="shared" si="38"/>
        <v>0</v>
      </c>
    </row>
    <row r="147" spans="2:60" x14ac:dyDescent="0.25">
      <c r="B147" s="915" t="s">
        <v>1653</v>
      </c>
      <c r="C147" s="916"/>
      <c r="E147" s="552" t="s">
        <v>1531</v>
      </c>
      <c r="F147" s="918"/>
      <c r="J147" s="554">
        <f>-J145</f>
        <v>0</v>
      </c>
      <c r="K147" s="554">
        <f>K144-K145</f>
        <v>0</v>
      </c>
      <c r="L147" s="554">
        <f t="shared" ref="L147:BH147" si="39">L144-L145</f>
        <v>0</v>
      </c>
      <c r="M147" s="554">
        <f t="shared" si="39"/>
        <v>0</v>
      </c>
      <c r="N147" s="554">
        <f t="shared" si="39"/>
        <v>0</v>
      </c>
      <c r="O147" s="554">
        <f t="shared" si="39"/>
        <v>0</v>
      </c>
      <c r="P147" s="554">
        <f t="shared" si="39"/>
        <v>0</v>
      </c>
      <c r="Q147" s="554">
        <f t="shared" si="39"/>
        <v>0</v>
      </c>
      <c r="R147" s="554">
        <f t="shared" si="39"/>
        <v>0</v>
      </c>
      <c r="S147" s="554">
        <f t="shared" si="39"/>
        <v>0</v>
      </c>
      <c r="T147" s="554">
        <f t="shared" si="39"/>
        <v>0</v>
      </c>
      <c r="U147" s="554">
        <f t="shared" si="39"/>
        <v>0</v>
      </c>
      <c r="V147" s="554">
        <f t="shared" si="39"/>
        <v>0</v>
      </c>
      <c r="W147" s="554">
        <f t="shared" si="39"/>
        <v>0</v>
      </c>
      <c r="X147" s="554">
        <f t="shared" si="39"/>
        <v>0</v>
      </c>
      <c r="Y147" s="554">
        <f t="shared" si="39"/>
        <v>0</v>
      </c>
      <c r="Z147" s="554">
        <f t="shared" si="39"/>
        <v>0</v>
      </c>
      <c r="AA147" s="554">
        <f t="shared" si="39"/>
        <v>0</v>
      </c>
      <c r="AB147" s="554">
        <f t="shared" si="39"/>
        <v>0</v>
      </c>
      <c r="AC147" s="554">
        <f t="shared" si="39"/>
        <v>0</v>
      </c>
      <c r="AD147" s="554">
        <f t="shared" si="39"/>
        <v>0</v>
      </c>
      <c r="AE147" s="554">
        <f t="shared" si="39"/>
        <v>0</v>
      </c>
      <c r="AF147" s="554">
        <f t="shared" si="39"/>
        <v>0</v>
      </c>
      <c r="AG147" s="554">
        <f t="shared" si="39"/>
        <v>0</v>
      </c>
      <c r="AH147" s="554">
        <f t="shared" si="39"/>
        <v>0</v>
      </c>
      <c r="AI147" s="554">
        <f t="shared" si="39"/>
        <v>0</v>
      </c>
      <c r="AJ147" s="554">
        <f t="shared" si="39"/>
        <v>0</v>
      </c>
      <c r="AK147" s="554">
        <f t="shared" si="39"/>
        <v>0</v>
      </c>
      <c r="AL147" s="554">
        <f t="shared" si="39"/>
        <v>0</v>
      </c>
      <c r="AM147" s="554">
        <f t="shared" si="39"/>
        <v>0</v>
      </c>
      <c r="AN147" s="554">
        <f t="shared" si="39"/>
        <v>0</v>
      </c>
      <c r="AO147" s="554">
        <f t="shared" si="39"/>
        <v>0</v>
      </c>
      <c r="AP147" s="554">
        <f t="shared" si="39"/>
        <v>0</v>
      </c>
      <c r="AQ147" s="554">
        <f t="shared" si="39"/>
        <v>0</v>
      </c>
      <c r="AR147" s="554">
        <f t="shared" si="39"/>
        <v>0</v>
      </c>
      <c r="AS147" s="554">
        <f t="shared" si="39"/>
        <v>0</v>
      </c>
      <c r="AT147" s="554">
        <f t="shared" si="39"/>
        <v>0</v>
      </c>
      <c r="AU147" s="554">
        <f t="shared" si="39"/>
        <v>0</v>
      </c>
      <c r="AV147" s="554">
        <f t="shared" si="39"/>
        <v>0</v>
      </c>
      <c r="AW147" s="554">
        <f t="shared" si="39"/>
        <v>0</v>
      </c>
      <c r="AX147" s="554">
        <f t="shared" si="39"/>
        <v>0</v>
      </c>
      <c r="AY147" s="554">
        <f t="shared" si="39"/>
        <v>0</v>
      </c>
      <c r="AZ147" s="554">
        <f t="shared" si="39"/>
        <v>0</v>
      </c>
      <c r="BA147" s="554">
        <f t="shared" si="39"/>
        <v>0</v>
      </c>
      <c r="BB147" s="554">
        <f t="shared" si="39"/>
        <v>0</v>
      </c>
      <c r="BC147" s="554">
        <f t="shared" si="39"/>
        <v>0</v>
      </c>
      <c r="BD147" s="554">
        <f t="shared" si="39"/>
        <v>0</v>
      </c>
      <c r="BE147" s="554">
        <f t="shared" si="39"/>
        <v>0</v>
      </c>
      <c r="BF147" s="554">
        <f t="shared" si="39"/>
        <v>0</v>
      </c>
      <c r="BG147" s="554">
        <f t="shared" si="39"/>
        <v>0</v>
      </c>
      <c r="BH147" s="554">
        <f t="shared" si="39"/>
        <v>0</v>
      </c>
    </row>
    <row r="148" spans="2:60" ht="4.9000000000000004" customHeight="1" x14ac:dyDescent="0.25">
      <c r="B148" s="555"/>
    </row>
    <row r="149" spans="2:60" x14ac:dyDescent="0.25">
      <c r="B149" s="556" t="s">
        <v>1532</v>
      </c>
      <c r="C149" s="513">
        <v>0.06</v>
      </c>
      <c r="E149" s="552" t="s">
        <v>1533</v>
      </c>
      <c r="F149" s="557" t="s">
        <v>1495</v>
      </c>
      <c r="J149" s="624">
        <f t="shared" ref="J149:BH149" si="40">(1+$C$149)^J143</f>
        <v>1</v>
      </c>
      <c r="K149" s="624">
        <f t="shared" si="40"/>
        <v>1.06</v>
      </c>
      <c r="L149" s="624">
        <f t="shared" si="40"/>
        <v>1.1236000000000002</v>
      </c>
      <c r="M149" s="624">
        <f t="shared" si="40"/>
        <v>1.1910160000000003</v>
      </c>
      <c r="N149" s="624">
        <f t="shared" si="40"/>
        <v>1.2624769600000003</v>
      </c>
      <c r="O149" s="624">
        <f t="shared" si="40"/>
        <v>1.3382255776000005</v>
      </c>
      <c r="P149" s="624">
        <f t="shared" si="40"/>
        <v>1.4185191122560006</v>
      </c>
      <c r="Q149" s="624">
        <f t="shared" si="40"/>
        <v>1.5036302589913608</v>
      </c>
      <c r="R149" s="624">
        <f t="shared" si="40"/>
        <v>1.5938480745308423</v>
      </c>
      <c r="S149" s="624">
        <f t="shared" si="40"/>
        <v>1.6894789590026928</v>
      </c>
      <c r="T149" s="624">
        <f t="shared" si="40"/>
        <v>1.7908476965428546</v>
      </c>
      <c r="U149" s="624">
        <f t="shared" si="40"/>
        <v>1.8982985583354262</v>
      </c>
      <c r="V149" s="624">
        <f t="shared" si="40"/>
        <v>2.0121964718355518</v>
      </c>
      <c r="W149" s="624">
        <f t="shared" si="40"/>
        <v>2.1329282601456852</v>
      </c>
      <c r="X149" s="624">
        <f t="shared" si="40"/>
        <v>2.2609039557544262</v>
      </c>
      <c r="Y149" s="624">
        <f t="shared" si="40"/>
        <v>2.3965581930996924</v>
      </c>
      <c r="Z149" s="624">
        <f t="shared" si="40"/>
        <v>2.5403516846856733</v>
      </c>
      <c r="AA149" s="624">
        <f t="shared" si="40"/>
        <v>2.692772785766814</v>
      </c>
      <c r="AB149" s="624">
        <f t="shared" si="40"/>
        <v>2.8543391529128228</v>
      </c>
      <c r="AC149" s="624">
        <f t="shared" si="40"/>
        <v>3.0255995020875925</v>
      </c>
      <c r="AD149" s="624">
        <f t="shared" si="40"/>
        <v>3.207135472212848</v>
      </c>
      <c r="AE149" s="624">
        <f t="shared" si="40"/>
        <v>3.3995636005456196</v>
      </c>
      <c r="AF149" s="624">
        <f t="shared" si="40"/>
        <v>3.6035374165783569</v>
      </c>
      <c r="AG149" s="624">
        <f t="shared" si="40"/>
        <v>3.8197496615730588</v>
      </c>
      <c r="AH149" s="624">
        <f t="shared" si="40"/>
        <v>4.0489346412674418</v>
      </c>
      <c r="AI149" s="624">
        <f t="shared" si="40"/>
        <v>4.2918707197434882</v>
      </c>
      <c r="AJ149" s="624">
        <f t="shared" si="40"/>
        <v>4.5493829629280977</v>
      </c>
      <c r="AK149" s="624">
        <f t="shared" si="40"/>
        <v>4.8223459407037845</v>
      </c>
      <c r="AL149" s="624">
        <f t="shared" si="40"/>
        <v>5.1116866971460118</v>
      </c>
      <c r="AM149" s="624">
        <f t="shared" si="40"/>
        <v>5.4183878989747729</v>
      </c>
      <c r="AN149" s="624">
        <f t="shared" si="40"/>
        <v>5.7434911729132594</v>
      </c>
      <c r="AO149" s="624">
        <f t="shared" si="40"/>
        <v>6.0881006432880564</v>
      </c>
      <c r="AP149" s="624">
        <f t="shared" si="40"/>
        <v>6.4533866818853385</v>
      </c>
      <c r="AQ149" s="624">
        <f t="shared" si="40"/>
        <v>6.8405898827984588</v>
      </c>
      <c r="AR149" s="624">
        <f t="shared" si="40"/>
        <v>7.2510252757663674</v>
      </c>
      <c r="AS149" s="624">
        <f t="shared" si="40"/>
        <v>7.6860867923123504</v>
      </c>
      <c r="AT149" s="624">
        <f t="shared" si="40"/>
        <v>8.1472519998510915</v>
      </c>
      <c r="AU149" s="624">
        <f t="shared" si="40"/>
        <v>8.6360871198421574</v>
      </c>
      <c r="AV149" s="624">
        <f t="shared" si="40"/>
        <v>9.1542523470326884</v>
      </c>
      <c r="AW149" s="624">
        <f t="shared" si="40"/>
        <v>9.703507487854651</v>
      </c>
      <c r="AX149" s="624">
        <f t="shared" si="40"/>
        <v>10.285717937125929</v>
      </c>
      <c r="AY149" s="624">
        <f t="shared" si="40"/>
        <v>10.902861013353483</v>
      </c>
      <c r="AZ149" s="624">
        <f t="shared" si="40"/>
        <v>11.557032674154694</v>
      </c>
      <c r="BA149" s="624">
        <f t="shared" si="40"/>
        <v>12.250454634603978</v>
      </c>
      <c r="BB149" s="624">
        <f t="shared" si="40"/>
        <v>12.985481912680218</v>
      </c>
      <c r="BC149" s="624">
        <f t="shared" si="40"/>
        <v>13.764610827441031</v>
      </c>
      <c r="BD149" s="624">
        <f t="shared" si="40"/>
        <v>14.590487477087493</v>
      </c>
      <c r="BE149" s="624">
        <f t="shared" si="40"/>
        <v>15.465916725712747</v>
      </c>
      <c r="BF149" s="624">
        <f t="shared" si="40"/>
        <v>16.393871729255508</v>
      </c>
      <c r="BG149" s="624">
        <f t="shared" si="40"/>
        <v>17.37750403301084</v>
      </c>
      <c r="BH149" s="624">
        <f t="shared" si="40"/>
        <v>18.420154274991489</v>
      </c>
    </row>
    <row r="150" spans="2:60" ht="4.9000000000000004" customHeight="1" x14ac:dyDescent="0.25">
      <c r="B150" s="558"/>
      <c r="C150" s="559"/>
      <c r="D150" s="560"/>
    </row>
    <row r="151" spans="2:60" x14ac:dyDescent="0.2">
      <c r="B151" s="915" t="s">
        <v>1651</v>
      </c>
      <c r="C151" s="916"/>
      <c r="E151" s="561" t="s">
        <v>1534</v>
      </c>
      <c r="F151" s="917" t="s">
        <v>38</v>
      </c>
      <c r="J151" s="553"/>
      <c r="K151" s="554">
        <f>K147/K149</f>
        <v>0</v>
      </c>
      <c r="L151" s="554">
        <f t="shared" ref="L151:BH151" si="41">L147/L149</f>
        <v>0</v>
      </c>
      <c r="M151" s="554">
        <f t="shared" si="41"/>
        <v>0</v>
      </c>
      <c r="N151" s="554">
        <f t="shared" si="41"/>
        <v>0</v>
      </c>
      <c r="O151" s="554">
        <f t="shared" si="41"/>
        <v>0</v>
      </c>
      <c r="P151" s="554">
        <f t="shared" si="41"/>
        <v>0</v>
      </c>
      <c r="Q151" s="554">
        <f t="shared" si="41"/>
        <v>0</v>
      </c>
      <c r="R151" s="554">
        <f t="shared" si="41"/>
        <v>0</v>
      </c>
      <c r="S151" s="554">
        <f t="shared" si="41"/>
        <v>0</v>
      </c>
      <c r="T151" s="554">
        <f t="shared" si="41"/>
        <v>0</v>
      </c>
      <c r="U151" s="554">
        <f t="shared" si="41"/>
        <v>0</v>
      </c>
      <c r="V151" s="554">
        <f t="shared" si="41"/>
        <v>0</v>
      </c>
      <c r="W151" s="554">
        <f t="shared" si="41"/>
        <v>0</v>
      </c>
      <c r="X151" s="554">
        <f t="shared" si="41"/>
        <v>0</v>
      </c>
      <c r="Y151" s="554">
        <f t="shared" si="41"/>
        <v>0</v>
      </c>
      <c r="Z151" s="554">
        <f t="shared" si="41"/>
        <v>0</v>
      </c>
      <c r="AA151" s="554">
        <f t="shared" si="41"/>
        <v>0</v>
      </c>
      <c r="AB151" s="554">
        <f t="shared" si="41"/>
        <v>0</v>
      </c>
      <c r="AC151" s="554">
        <f t="shared" si="41"/>
        <v>0</v>
      </c>
      <c r="AD151" s="554">
        <f t="shared" si="41"/>
        <v>0</v>
      </c>
      <c r="AE151" s="554">
        <f t="shared" si="41"/>
        <v>0</v>
      </c>
      <c r="AF151" s="554">
        <f t="shared" si="41"/>
        <v>0</v>
      </c>
      <c r="AG151" s="554">
        <f t="shared" si="41"/>
        <v>0</v>
      </c>
      <c r="AH151" s="554">
        <f t="shared" si="41"/>
        <v>0</v>
      </c>
      <c r="AI151" s="554">
        <f t="shared" si="41"/>
        <v>0</v>
      </c>
      <c r="AJ151" s="554">
        <f t="shared" si="41"/>
        <v>0</v>
      </c>
      <c r="AK151" s="554">
        <f t="shared" si="41"/>
        <v>0</v>
      </c>
      <c r="AL151" s="554">
        <f t="shared" si="41"/>
        <v>0</v>
      </c>
      <c r="AM151" s="554">
        <f t="shared" si="41"/>
        <v>0</v>
      </c>
      <c r="AN151" s="554">
        <f t="shared" si="41"/>
        <v>0</v>
      </c>
      <c r="AO151" s="554">
        <f t="shared" si="41"/>
        <v>0</v>
      </c>
      <c r="AP151" s="554">
        <f t="shared" si="41"/>
        <v>0</v>
      </c>
      <c r="AQ151" s="554">
        <f t="shared" si="41"/>
        <v>0</v>
      </c>
      <c r="AR151" s="554">
        <f t="shared" si="41"/>
        <v>0</v>
      </c>
      <c r="AS151" s="554">
        <f t="shared" si="41"/>
        <v>0</v>
      </c>
      <c r="AT151" s="554">
        <f t="shared" si="41"/>
        <v>0</v>
      </c>
      <c r="AU151" s="554">
        <f t="shared" si="41"/>
        <v>0</v>
      </c>
      <c r="AV151" s="554">
        <f t="shared" si="41"/>
        <v>0</v>
      </c>
      <c r="AW151" s="554">
        <f t="shared" si="41"/>
        <v>0</v>
      </c>
      <c r="AX151" s="554">
        <f t="shared" si="41"/>
        <v>0</v>
      </c>
      <c r="AY151" s="554">
        <f t="shared" si="41"/>
        <v>0</v>
      </c>
      <c r="AZ151" s="554">
        <f t="shared" si="41"/>
        <v>0</v>
      </c>
      <c r="BA151" s="554">
        <f t="shared" si="41"/>
        <v>0</v>
      </c>
      <c r="BB151" s="554">
        <f t="shared" si="41"/>
        <v>0</v>
      </c>
      <c r="BC151" s="554">
        <f t="shared" si="41"/>
        <v>0</v>
      </c>
      <c r="BD151" s="554">
        <f t="shared" si="41"/>
        <v>0</v>
      </c>
      <c r="BE151" s="554">
        <f t="shared" si="41"/>
        <v>0</v>
      </c>
      <c r="BF151" s="554">
        <f t="shared" si="41"/>
        <v>0</v>
      </c>
      <c r="BG151" s="554">
        <f t="shared" si="41"/>
        <v>0</v>
      </c>
      <c r="BH151" s="554">
        <f t="shared" si="41"/>
        <v>0</v>
      </c>
    </row>
    <row r="152" spans="2:60" x14ac:dyDescent="0.2">
      <c r="B152" s="915" t="s">
        <v>1652</v>
      </c>
      <c r="C152" s="916"/>
      <c r="E152" s="561" t="s">
        <v>1535</v>
      </c>
      <c r="F152" s="918"/>
      <c r="J152" s="554">
        <f>-J145</f>
        <v>0</v>
      </c>
      <c r="K152" s="554">
        <f>IF(K143&lt;=$D$3,J152+K151,0)</f>
        <v>0</v>
      </c>
      <c r="L152" s="554">
        <f t="shared" ref="L152:BH152" si="42">IF(L143&lt;=$D$3,K152+L151,0)</f>
        <v>0</v>
      </c>
      <c r="M152" s="554">
        <f t="shared" si="42"/>
        <v>0</v>
      </c>
      <c r="N152" s="554">
        <f t="shared" si="42"/>
        <v>0</v>
      </c>
      <c r="O152" s="554">
        <f>IF(O143&lt;=$D$3,N152+O151,0)</f>
        <v>0</v>
      </c>
      <c r="P152" s="554">
        <f t="shared" si="42"/>
        <v>0</v>
      </c>
      <c r="Q152" s="554">
        <f t="shared" si="42"/>
        <v>0</v>
      </c>
      <c r="R152" s="554">
        <f t="shared" si="42"/>
        <v>0</v>
      </c>
      <c r="S152" s="554">
        <f t="shared" si="42"/>
        <v>0</v>
      </c>
      <c r="T152" s="554">
        <f t="shared" si="42"/>
        <v>0</v>
      </c>
      <c r="U152" s="554">
        <f t="shared" si="42"/>
        <v>0</v>
      </c>
      <c r="V152" s="554">
        <f t="shared" si="42"/>
        <v>0</v>
      </c>
      <c r="W152" s="554">
        <f t="shared" si="42"/>
        <v>0</v>
      </c>
      <c r="X152" s="554">
        <f t="shared" si="42"/>
        <v>0</v>
      </c>
      <c r="Y152" s="554">
        <f t="shared" si="42"/>
        <v>0</v>
      </c>
      <c r="Z152" s="554">
        <f t="shared" si="42"/>
        <v>0</v>
      </c>
      <c r="AA152" s="554">
        <f t="shared" si="42"/>
        <v>0</v>
      </c>
      <c r="AB152" s="554">
        <f t="shared" si="42"/>
        <v>0</v>
      </c>
      <c r="AC152" s="554">
        <f t="shared" si="42"/>
        <v>0</v>
      </c>
      <c r="AD152" s="554">
        <f t="shared" si="42"/>
        <v>0</v>
      </c>
      <c r="AE152" s="554">
        <f t="shared" si="42"/>
        <v>0</v>
      </c>
      <c r="AF152" s="554">
        <f t="shared" si="42"/>
        <v>0</v>
      </c>
      <c r="AG152" s="554">
        <f t="shared" si="42"/>
        <v>0</v>
      </c>
      <c r="AH152" s="554">
        <f t="shared" si="42"/>
        <v>0</v>
      </c>
      <c r="AI152" s="554">
        <f t="shared" si="42"/>
        <v>0</v>
      </c>
      <c r="AJ152" s="554">
        <f t="shared" si="42"/>
        <v>0</v>
      </c>
      <c r="AK152" s="554">
        <f t="shared" si="42"/>
        <v>0</v>
      </c>
      <c r="AL152" s="554">
        <f t="shared" si="42"/>
        <v>0</v>
      </c>
      <c r="AM152" s="554">
        <f t="shared" si="42"/>
        <v>0</v>
      </c>
      <c r="AN152" s="554">
        <f t="shared" si="42"/>
        <v>0</v>
      </c>
      <c r="AO152" s="554">
        <f t="shared" si="42"/>
        <v>0</v>
      </c>
      <c r="AP152" s="554">
        <f t="shared" si="42"/>
        <v>0</v>
      </c>
      <c r="AQ152" s="554">
        <f t="shared" si="42"/>
        <v>0</v>
      </c>
      <c r="AR152" s="554">
        <f t="shared" si="42"/>
        <v>0</v>
      </c>
      <c r="AS152" s="554">
        <f t="shared" si="42"/>
        <v>0</v>
      </c>
      <c r="AT152" s="554">
        <f t="shared" si="42"/>
        <v>0</v>
      </c>
      <c r="AU152" s="554">
        <f t="shared" si="42"/>
        <v>0</v>
      </c>
      <c r="AV152" s="554">
        <f t="shared" si="42"/>
        <v>0</v>
      </c>
      <c r="AW152" s="554">
        <f t="shared" si="42"/>
        <v>0</v>
      </c>
      <c r="AX152" s="554">
        <f t="shared" si="42"/>
        <v>0</v>
      </c>
      <c r="AY152" s="554">
        <f t="shared" si="42"/>
        <v>0</v>
      </c>
      <c r="AZ152" s="554">
        <f t="shared" si="42"/>
        <v>0</v>
      </c>
      <c r="BA152" s="554">
        <f t="shared" si="42"/>
        <v>0</v>
      </c>
      <c r="BB152" s="554">
        <f t="shared" si="42"/>
        <v>0</v>
      </c>
      <c r="BC152" s="554">
        <f t="shared" si="42"/>
        <v>0</v>
      </c>
      <c r="BD152" s="554">
        <f t="shared" si="42"/>
        <v>0</v>
      </c>
      <c r="BE152" s="554">
        <f t="shared" si="42"/>
        <v>0</v>
      </c>
      <c r="BF152" s="554">
        <f t="shared" si="42"/>
        <v>0</v>
      </c>
      <c r="BG152" s="554">
        <f t="shared" si="42"/>
        <v>0</v>
      </c>
      <c r="BH152" s="554">
        <f t="shared" si="42"/>
        <v>0</v>
      </c>
    </row>
    <row r="153" spans="2:60" x14ac:dyDescent="0.25">
      <c r="J153" s="562"/>
    </row>
    <row r="154" spans="2:60" x14ac:dyDescent="0.25">
      <c r="B154" s="915" t="s">
        <v>1654</v>
      </c>
      <c r="C154" s="916"/>
      <c r="E154" s="552" t="s">
        <v>1536</v>
      </c>
      <c r="F154" s="799" t="s">
        <v>38</v>
      </c>
      <c r="J154" s="625">
        <f>SUM(K151:AN151)+J152</f>
        <v>0</v>
      </c>
    </row>
    <row r="155" spans="2:60" x14ac:dyDescent="0.25">
      <c r="B155" s="915" t="s">
        <v>1655</v>
      </c>
      <c r="C155" s="916"/>
      <c r="E155" s="552" t="s">
        <v>1656</v>
      </c>
      <c r="F155" s="541" t="s">
        <v>70</v>
      </c>
      <c r="J155" s="816" t="e">
        <f>J154/J145</f>
        <v>#DIV/0!</v>
      </c>
    </row>
    <row r="156" spans="2:60" x14ac:dyDescent="0.25">
      <c r="B156" s="915" t="s">
        <v>1537</v>
      </c>
      <c r="C156" s="916"/>
      <c r="E156" s="552" t="s">
        <v>1657</v>
      </c>
      <c r="F156" s="557" t="s">
        <v>70</v>
      </c>
      <c r="J156" s="626" t="e">
        <f>IRR(J147:AN147)</f>
        <v>#NUM!</v>
      </c>
    </row>
    <row r="157" spans="2:60" s="809" customFormat="1" x14ac:dyDescent="0.25">
      <c r="B157" s="920"/>
      <c r="C157" s="920"/>
      <c r="D157" s="810"/>
      <c r="E157" s="817"/>
      <c r="F157" s="818"/>
      <c r="G157" s="810"/>
      <c r="H157" s="810"/>
      <c r="I157" s="810"/>
      <c r="J157" s="819"/>
      <c r="K157" s="810"/>
    </row>
    <row r="158" spans="2:60" x14ac:dyDescent="0.25">
      <c r="B158" s="915" t="s">
        <v>1658</v>
      </c>
      <c r="C158" s="916"/>
      <c r="E158" s="552" t="s">
        <v>1661</v>
      </c>
      <c r="F158" s="917" t="s">
        <v>1529</v>
      </c>
      <c r="K158" s="803">
        <f t="shared" ref="K158:AP158" si="43">K144-K146</f>
        <v>0</v>
      </c>
      <c r="L158" s="804">
        <f t="shared" si="43"/>
        <v>0</v>
      </c>
      <c r="M158" s="804">
        <f t="shared" si="43"/>
        <v>0</v>
      </c>
      <c r="N158" s="804">
        <f t="shared" si="43"/>
        <v>0</v>
      </c>
      <c r="O158" s="804">
        <f t="shared" si="43"/>
        <v>0</v>
      </c>
      <c r="P158" s="804">
        <f t="shared" si="43"/>
        <v>0</v>
      </c>
      <c r="Q158" s="804">
        <f t="shared" si="43"/>
        <v>0</v>
      </c>
      <c r="R158" s="804">
        <f t="shared" si="43"/>
        <v>0</v>
      </c>
      <c r="S158" s="804">
        <f t="shared" si="43"/>
        <v>0</v>
      </c>
      <c r="T158" s="804">
        <f t="shared" si="43"/>
        <v>0</v>
      </c>
      <c r="U158" s="804">
        <f t="shared" si="43"/>
        <v>0</v>
      </c>
      <c r="V158" s="804">
        <f t="shared" si="43"/>
        <v>0</v>
      </c>
      <c r="W158" s="804">
        <f t="shared" si="43"/>
        <v>0</v>
      </c>
      <c r="X158" s="804">
        <f t="shared" si="43"/>
        <v>0</v>
      </c>
      <c r="Y158" s="804">
        <f t="shared" si="43"/>
        <v>0</v>
      </c>
      <c r="Z158" s="804">
        <f t="shared" si="43"/>
        <v>0</v>
      </c>
      <c r="AA158" s="804">
        <f t="shared" si="43"/>
        <v>0</v>
      </c>
      <c r="AB158" s="804">
        <f t="shared" si="43"/>
        <v>0</v>
      </c>
      <c r="AC158" s="804">
        <f t="shared" si="43"/>
        <v>0</v>
      </c>
      <c r="AD158" s="804">
        <f t="shared" si="43"/>
        <v>0</v>
      </c>
      <c r="AE158" s="804">
        <f t="shared" si="43"/>
        <v>0</v>
      </c>
      <c r="AF158" s="804">
        <f t="shared" si="43"/>
        <v>0</v>
      </c>
      <c r="AG158" s="804">
        <f t="shared" si="43"/>
        <v>0</v>
      </c>
      <c r="AH158" s="804">
        <f t="shared" si="43"/>
        <v>0</v>
      </c>
      <c r="AI158" s="804">
        <f t="shared" si="43"/>
        <v>0</v>
      </c>
      <c r="AJ158" s="804">
        <f t="shared" si="43"/>
        <v>0</v>
      </c>
      <c r="AK158" s="804">
        <f t="shared" si="43"/>
        <v>0</v>
      </c>
      <c r="AL158" s="804">
        <f t="shared" si="43"/>
        <v>0</v>
      </c>
      <c r="AM158" s="804">
        <f t="shared" si="43"/>
        <v>0</v>
      </c>
      <c r="AN158" s="804">
        <f t="shared" si="43"/>
        <v>0</v>
      </c>
      <c r="AO158" s="804">
        <f t="shared" si="43"/>
        <v>0</v>
      </c>
      <c r="AP158" s="804">
        <f t="shared" si="43"/>
        <v>0</v>
      </c>
      <c r="AQ158" s="804">
        <f t="shared" ref="AQ158:BH158" si="44">AQ144-AQ146</f>
        <v>0</v>
      </c>
      <c r="AR158" s="804">
        <f t="shared" si="44"/>
        <v>0</v>
      </c>
      <c r="AS158" s="804">
        <f t="shared" si="44"/>
        <v>0</v>
      </c>
      <c r="AT158" s="804">
        <f t="shared" si="44"/>
        <v>0</v>
      </c>
      <c r="AU158" s="804">
        <f t="shared" si="44"/>
        <v>0</v>
      </c>
      <c r="AV158" s="804">
        <f t="shared" si="44"/>
        <v>0</v>
      </c>
      <c r="AW158" s="804">
        <f t="shared" si="44"/>
        <v>0</v>
      </c>
      <c r="AX158" s="804">
        <f t="shared" si="44"/>
        <v>0</v>
      </c>
      <c r="AY158" s="804">
        <f t="shared" si="44"/>
        <v>0</v>
      </c>
      <c r="AZ158" s="804">
        <f t="shared" si="44"/>
        <v>0</v>
      </c>
      <c r="BA158" s="804">
        <f t="shared" si="44"/>
        <v>0</v>
      </c>
      <c r="BB158" s="804">
        <f t="shared" si="44"/>
        <v>0</v>
      </c>
      <c r="BC158" s="804">
        <f t="shared" si="44"/>
        <v>0</v>
      </c>
      <c r="BD158" s="804">
        <f t="shared" si="44"/>
        <v>0</v>
      </c>
      <c r="BE158" s="804">
        <f t="shared" si="44"/>
        <v>0</v>
      </c>
      <c r="BF158" s="804">
        <f t="shared" si="44"/>
        <v>0</v>
      </c>
      <c r="BG158" s="804">
        <f t="shared" si="44"/>
        <v>0</v>
      </c>
      <c r="BH158" s="805">
        <f t="shared" si="44"/>
        <v>0</v>
      </c>
    </row>
    <row r="159" spans="2:60" x14ac:dyDescent="0.25">
      <c r="B159" s="915" t="s">
        <v>1659</v>
      </c>
      <c r="C159" s="916"/>
      <c r="E159" s="552" t="s">
        <v>1662</v>
      </c>
      <c r="F159" s="919"/>
      <c r="K159" s="806">
        <f t="shared" ref="K159:AP159" si="45">K158/K149</f>
        <v>0</v>
      </c>
      <c r="L159" s="807">
        <f t="shared" si="45"/>
        <v>0</v>
      </c>
      <c r="M159" s="807">
        <f t="shared" si="45"/>
        <v>0</v>
      </c>
      <c r="N159" s="807">
        <f t="shared" si="45"/>
        <v>0</v>
      </c>
      <c r="O159" s="807">
        <f t="shared" si="45"/>
        <v>0</v>
      </c>
      <c r="P159" s="807">
        <f t="shared" si="45"/>
        <v>0</v>
      </c>
      <c r="Q159" s="807">
        <f t="shared" si="45"/>
        <v>0</v>
      </c>
      <c r="R159" s="807">
        <f t="shared" si="45"/>
        <v>0</v>
      </c>
      <c r="S159" s="807">
        <f t="shared" si="45"/>
        <v>0</v>
      </c>
      <c r="T159" s="807">
        <f t="shared" si="45"/>
        <v>0</v>
      </c>
      <c r="U159" s="807">
        <f t="shared" si="45"/>
        <v>0</v>
      </c>
      <c r="V159" s="807">
        <f t="shared" si="45"/>
        <v>0</v>
      </c>
      <c r="W159" s="807">
        <f t="shared" si="45"/>
        <v>0</v>
      </c>
      <c r="X159" s="807">
        <f t="shared" si="45"/>
        <v>0</v>
      </c>
      <c r="Y159" s="807">
        <f t="shared" si="45"/>
        <v>0</v>
      </c>
      <c r="Z159" s="807">
        <f t="shared" si="45"/>
        <v>0</v>
      </c>
      <c r="AA159" s="807">
        <f t="shared" si="45"/>
        <v>0</v>
      </c>
      <c r="AB159" s="807">
        <f t="shared" si="45"/>
        <v>0</v>
      </c>
      <c r="AC159" s="807">
        <f t="shared" si="45"/>
        <v>0</v>
      </c>
      <c r="AD159" s="807">
        <f t="shared" si="45"/>
        <v>0</v>
      </c>
      <c r="AE159" s="807">
        <f t="shared" si="45"/>
        <v>0</v>
      </c>
      <c r="AF159" s="807">
        <f t="shared" si="45"/>
        <v>0</v>
      </c>
      <c r="AG159" s="807">
        <f t="shared" si="45"/>
        <v>0</v>
      </c>
      <c r="AH159" s="807">
        <f t="shared" si="45"/>
        <v>0</v>
      </c>
      <c r="AI159" s="807">
        <f t="shared" si="45"/>
        <v>0</v>
      </c>
      <c r="AJ159" s="807">
        <f t="shared" si="45"/>
        <v>0</v>
      </c>
      <c r="AK159" s="807">
        <f t="shared" si="45"/>
        <v>0</v>
      </c>
      <c r="AL159" s="807">
        <f t="shared" si="45"/>
        <v>0</v>
      </c>
      <c r="AM159" s="807">
        <f t="shared" si="45"/>
        <v>0</v>
      </c>
      <c r="AN159" s="807">
        <f t="shared" si="45"/>
        <v>0</v>
      </c>
      <c r="AO159" s="807">
        <f t="shared" si="45"/>
        <v>0</v>
      </c>
      <c r="AP159" s="807">
        <f t="shared" si="45"/>
        <v>0</v>
      </c>
      <c r="AQ159" s="807">
        <f t="shared" ref="AQ159:BH159" si="46">AQ158/AQ149</f>
        <v>0</v>
      </c>
      <c r="AR159" s="807">
        <f t="shared" si="46"/>
        <v>0</v>
      </c>
      <c r="AS159" s="807">
        <f t="shared" si="46"/>
        <v>0</v>
      </c>
      <c r="AT159" s="807">
        <f t="shared" si="46"/>
        <v>0</v>
      </c>
      <c r="AU159" s="807">
        <f t="shared" si="46"/>
        <v>0</v>
      </c>
      <c r="AV159" s="807">
        <f t="shared" si="46"/>
        <v>0</v>
      </c>
      <c r="AW159" s="807">
        <f t="shared" si="46"/>
        <v>0</v>
      </c>
      <c r="AX159" s="807">
        <f t="shared" si="46"/>
        <v>0</v>
      </c>
      <c r="AY159" s="807">
        <f t="shared" si="46"/>
        <v>0</v>
      </c>
      <c r="AZ159" s="807">
        <f t="shared" si="46"/>
        <v>0</v>
      </c>
      <c r="BA159" s="807">
        <f t="shared" si="46"/>
        <v>0</v>
      </c>
      <c r="BB159" s="807">
        <f t="shared" si="46"/>
        <v>0</v>
      </c>
      <c r="BC159" s="807">
        <f t="shared" si="46"/>
        <v>0</v>
      </c>
      <c r="BD159" s="807">
        <f t="shared" si="46"/>
        <v>0</v>
      </c>
      <c r="BE159" s="807">
        <f t="shared" si="46"/>
        <v>0</v>
      </c>
      <c r="BF159" s="807">
        <f t="shared" si="46"/>
        <v>0</v>
      </c>
      <c r="BG159" s="807">
        <f t="shared" si="46"/>
        <v>0</v>
      </c>
      <c r="BH159" s="808">
        <f t="shared" si="46"/>
        <v>0</v>
      </c>
    </row>
    <row r="160" spans="2:60" x14ac:dyDescent="0.25">
      <c r="B160" s="915" t="s">
        <v>1660</v>
      </c>
      <c r="C160" s="916"/>
      <c r="E160" s="552" t="s">
        <v>1663</v>
      </c>
      <c r="F160" s="918"/>
      <c r="J160" s="813" t="e">
        <f>SUM(K159:AN159)/D3</f>
        <v>#DIV/0!</v>
      </c>
    </row>
    <row r="161" spans="1:60" x14ac:dyDescent="0.25">
      <c r="F161" s="802"/>
    </row>
    <row r="163" spans="1:60" x14ac:dyDescent="0.25">
      <c r="B163" s="812" t="s">
        <v>1664</v>
      </c>
      <c r="J163" s="519">
        <v>0</v>
      </c>
      <c r="K163" s="520">
        <v>1</v>
      </c>
      <c r="L163" s="520">
        <v>2</v>
      </c>
      <c r="M163" s="520">
        <v>3</v>
      </c>
      <c r="N163" s="520">
        <v>4</v>
      </c>
      <c r="O163" s="520">
        <v>5</v>
      </c>
      <c r="P163" s="520">
        <v>6</v>
      </c>
      <c r="Q163" s="520">
        <v>7</v>
      </c>
      <c r="R163" s="520">
        <v>8</v>
      </c>
      <c r="S163" s="563">
        <v>9</v>
      </c>
      <c r="T163" s="520">
        <v>10</v>
      </c>
      <c r="U163" s="520">
        <v>11</v>
      </c>
      <c r="V163" s="520">
        <v>12</v>
      </c>
      <c r="W163" s="520">
        <v>13</v>
      </c>
      <c r="X163" s="520">
        <v>14</v>
      </c>
      <c r="Y163" s="520">
        <v>15</v>
      </c>
      <c r="Z163" s="520">
        <v>16</v>
      </c>
      <c r="AA163" s="520">
        <v>17</v>
      </c>
      <c r="AB163" s="520">
        <v>18</v>
      </c>
      <c r="AC163" s="520">
        <v>19</v>
      </c>
      <c r="AD163" s="520">
        <v>20</v>
      </c>
      <c r="AE163" s="520">
        <v>21</v>
      </c>
      <c r="AF163" s="520">
        <v>22</v>
      </c>
      <c r="AG163" s="520">
        <v>23</v>
      </c>
      <c r="AH163" s="520">
        <v>24</v>
      </c>
      <c r="AI163" s="520">
        <v>25</v>
      </c>
      <c r="AJ163" s="520">
        <v>26</v>
      </c>
      <c r="AK163" s="520">
        <v>27</v>
      </c>
      <c r="AL163" s="520">
        <v>28</v>
      </c>
      <c r="AM163" s="520">
        <v>29</v>
      </c>
      <c r="AN163" s="520">
        <v>30</v>
      </c>
      <c r="AO163" s="520">
        <v>31</v>
      </c>
      <c r="AP163" s="520">
        <v>32</v>
      </c>
      <c r="AQ163" s="520">
        <v>33</v>
      </c>
      <c r="AR163" s="520">
        <v>34</v>
      </c>
      <c r="AS163" s="520">
        <v>35</v>
      </c>
      <c r="AT163" s="520">
        <v>36</v>
      </c>
      <c r="AU163" s="520">
        <v>37</v>
      </c>
      <c r="AV163" s="520">
        <v>38</v>
      </c>
      <c r="AW163" s="520">
        <v>39</v>
      </c>
      <c r="AX163" s="520">
        <v>40</v>
      </c>
      <c r="AY163" s="520">
        <v>41</v>
      </c>
      <c r="AZ163" s="520">
        <v>42</v>
      </c>
      <c r="BA163" s="520">
        <v>43</v>
      </c>
      <c r="BB163" s="520">
        <v>44</v>
      </c>
      <c r="BC163" s="520">
        <v>45</v>
      </c>
      <c r="BD163" s="520">
        <v>46</v>
      </c>
      <c r="BE163" s="520">
        <v>47</v>
      </c>
      <c r="BF163" s="520">
        <v>48</v>
      </c>
      <c r="BG163" s="520">
        <v>49</v>
      </c>
      <c r="BH163" s="520">
        <v>50</v>
      </c>
    </row>
    <row r="164" spans="1:60" x14ac:dyDescent="0.25">
      <c r="B164" s="906" t="s">
        <v>1538</v>
      </c>
      <c r="C164" s="907"/>
      <c r="D164" s="912" t="s">
        <v>1539</v>
      </c>
      <c r="E164" s="514">
        <f>C149</f>
        <v>0.06</v>
      </c>
      <c r="J164" s="554">
        <f>J152/(1+$E$164)^J163</f>
        <v>0</v>
      </c>
      <c r="K164" s="554">
        <f t="shared" ref="K164:AP164" si="47">IF(K147=0,0,J164+(K147/(1+$E$164)^K163))</f>
        <v>0</v>
      </c>
      <c r="L164" s="554">
        <f t="shared" si="47"/>
        <v>0</v>
      </c>
      <c r="M164" s="554">
        <f t="shared" si="47"/>
        <v>0</v>
      </c>
      <c r="N164" s="554">
        <f t="shared" si="47"/>
        <v>0</v>
      </c>
      <c r="O164" s="554">
        <f t="shared" si="47"/>
        <v>0</v>
      </c>
      <c r="P164" s="554">
        <f t="shared" si="47"/>
        <v>0</v>
      </c>
      <c r="Q164" s="554">
        <f t="shared" si="47"/>
        <v>0</v>
      </c>
      <c r="R164" s="554">
        <f t="shared" si="47"/>
        <v>0</v>
      </c>
      <c r="S164" s="554">
        <f t="shared" si="47"/>
        <v>0</v>
      </c>
      <c r="T164" s="554">
        <f t="shared" si="47"/>
        <v>0</v>
      </c>
      <c r="U164" s="554">
        <f t="shared" si="47"/>
        <v>0</v>
      </c>
      <c r="V164" s="554">
        <f t="shared" si="47"/>
        <v>0</v>
      </c>
      <c r="W164" s="554">
        <f t="shared" si="47"/>
        <v>0</v>
      </c>
      <c r="X164" s="554">
        <f t="shared" si="47"/>
        <v>0</v>
      </c>
      <c r="Y164" s="554">
        <f t="shared" si="47"/>
        <v>0</v>
      </c>
      <c r="Z164" s="554">
        <f t="shared" si="47"/>
        <v>0</v>
      </c>
      <c r="AA164" s="554">
        <f t="shared" si="47"/>
        <v>0</v>
      </c>
      <c r="AB164" s="554">
        <f t="shared" si="47"/>
        <v>0</v>
      </c>
      <c r="AC164" s="554">
        <f t="shared" si="47"/>
        <v>0</v>
      </c>
      <c r="AD164" s="554">
        <f t="shared" si="47"/>
        <v>0</v>
      </c>
      <c r="AE164" s="554">
        <f t="shared" si="47"/>
        <v>0</v>
      </c>
      <c r="AF164" s="554">
        <f t="shared" si="47"/>
        <v>0</v>
      </c>
      <c r="AG164" s="554">
        <f t="shared" si="47"/>
        <v>0</v>
      </c>
      <c r="AH164" s="554">
        <f t="shared" si="47"/>
        <v>0</v>
      </c>
      <c r="AI164" s="554">
        <f t="shared" si="47"/>
        <v>0</v>
      </c>
      <c r="AJ164" s="554">
        <f t="shared" si="47"/>
        <v>0</v>
      </c>
      <c r="AK164" s="554">
        <f t="shared" si="47"/>
        <v>0</v>
      </c>
      <c r="AL164" s="554">
        <f t="shared" si="47"/>
        <v>0</v>
      </c>
      <c r="AM164" s="554">
        <f t="shared" si="47"/>
        <v>0</v>
      </c>
      <c r="AN164" s="554">
        <f t="shared" si="47"/>
        <v>0</v>
      </c>
      <c r="AO164" s="554">
        <f t="shared" si="47"/>
        <v>0</v>
      </c>
      <c r="AP164" s="554">
        <f t="shared" si="47"/>
        <v>0</v>
      </c>
      <c r="AQ164" s="554">
        <f t="shared" ref="AQ164:BH164" si="48">IF(AQ147=0,0,AP164+(AQ147/(1+$E$164)^AQ163))</f>
        <v>0</v>
      </c>
      <c r="AR164" s="554">
        <f t="shared" si="48"/>
        <v>0</v>
      </c>
      <c r="AS164" s="554">
        <f t="shared" si="48"/>
        <v>0</v>
      </c>
      <c r="AT164" s="554">
        <f t="shared" si="48"/>
        <v>0</v>
      </c>
      <c r="AU164" s="554">
        <f t="shared" si="48"/>
        <v>0</v>
      </c>
      <c r="AV164" s="554">
        <f t="shared" si="48"/>
        <v>0</v>
      </c>
      <c r="AW164" s="554">
        <f t="shared" si="48"/>
        <v>0</v>
      </c>
      <c r="AX164" s="554">
        <f t="shared" si="48"/>
        <v>0</v>
      </c>
      <c r="AY164" s="554">
        <f t="shared" si="48"/>
        <v>0</v>
      </c>
      <c r="AZ164" s="554">
        <f t="shared" si="48"/>
        <v>0</v>
      </c>
      <c r="BA164" s="554">
        <f t="shared" si="48"/>
        <v>0</v>
      </c>
      <c r="BB164" s="554">
        <f t="shared" si="48"/>
        <v>0</v>
      </c>
      <c r="BC164" s="554">
        <f t="shared" si="48"/>
        <v>0</v>
      </c>
      <c r="BD164" s="554">
        <f t="shared" si="48"/>
        <v>0</v>
      </c>
      <c r="BE164" s="554">
        <f t="shared" si="48"/>
        <v>0</v>
      </c>
      <c r="BF164" s="554">
        <f t="shared" si="48"/>
        <v>0</v>
      </c>
      <c r="BG164" s="554">
        <f t="shared" si="48"/>
        <v>0</v>
      </c>
      <c r="BH164" s="554">
        <f t="shared" si="48"/>
        <v>0</v>
      </c>
    </row>
    <row r="165" spans="1:60" x14ac:dyDescent="0.25">
      <c r="B165" s="908"/>
      <c r="C165" s="909"/>
      <c r="D165" s="913"/>
      <c r="E165" s="514">
        <f>E164*1.25</f>
        <v>7.4999999999999997E-2</v>
      </c>
      <c r="J165" s="554">
        <f>J152/(1+$E$165)^J163</f>
        <v>0</v>
      </c>
      <c r="K165" s="554">
        <f t="shared" ref="K165:AP165" si="49">IF(K147=0,0,J165+(K147/(1+$E$165)^K163))</f>
        <v>0</v>
      </c>
      <c r="L165" s="554">
        <f t="shared" si="49"/>
        <v>0</v>
      </c>
      <c r="M165" s="554">
        <f t="shared" si="49"/>
        <v>0</v>
      </c>
      <c r="N165" s="554">
        <f t="shared" si="49"/>
        <v>0</v>
      </c>
      <c r="O165" s="554">
        <f t="shared" si="49"/>
        <v>0</v>
      </c>
      <c r="P165" s="554">
        <f t="shared" si="49"/>
        <v>0</v>
      </c>
      <c r="Q165" s="554">
        <f t="shared" si="49"/>
        <v>0</v>
      </c>
      <c r="R165" s="554">
        <f t="shared" si="49"/>
        <v>0</v>
      </c>
      <c r="S165" s="554">
        <f t="shared" si="49"/>
        <v>0</v>
      </c>
      <c r="T165" s="554">
        <f t="shared" si="49"/>
        <v>0</v>
      </c>
      <c r="U165" s="554">
        <f t="shared" si="49"/>
        <v>0</v>
      </c>
      <c r="V165" s="554">
        <f t="shared" si="49"/>
        <v>0</v>
      </c>
      <c r="W165" s="554">
        <f t="shared" si="49"/>
        <v>0</v>
      </c>
      <c r="X165" s="554">
        <f t="shared" si="49"/>
        <v>0</v>
      </c>
      <c r="Y165" s="554">
        <f t="shared" si="49"/>
        <v>0</v>
      </c>
      <c r="Z165" s="554">
        <f t="shared" si="49"/>
        <v>0</v>
      </c>
      <c r="AA165" s="554">
        <f t="shared" si="49"/>
        <v>0</v>
      </c>
      <c r="AB165" s="554">
        <f t="shared" si="49"/>
        <v>0</v>
      </c>
      <c r="AC165" s="554">
        <f t="shared" si="49"/>
        <v>0</v>
      </c>
      <c r="AD165" s="554">
        <f t="shared" si="49"/>
        <v>0</v>
      </c>
      <c r="AE165" s="554">
        <f t="shared" si="49"/>
        <v>0</v>
      </c>
      <c r="AF165" s="554">
        <f t="shared" si="49"/>
        <v>0</v>
      </c>
      <c r="AG165" s="554">
        <f t="shared" si="49"/>
        <v>0</v>
      </c>
      <c r="AH165" s="554">
        <f t="shared" si="49"/>
        <v>0</v>
      </c>
      <c r="AI165" s="554">
        <f t="shared" si="49"/>
        <v>0</v>
      </c>
      <c r="AJ165" s="554">
        <f t="shared" si="49"/>
        <v>0</v>
      </c>
      <c r="AK165" s="554">
        <f t="shared" si="49"/>
        <v>0</v>
      </c>
      <c r="AL165" s="554">
        <f t="shared" si="49"/>
        <v>0</v>
      </c>
      <c r="AM165" s="554">
        <f t="shared" si="49"/>
        <v>0</v>
      </c>
      <c r="AN165" s="554">
        <f t="shared" si="49"/>
        <v>0</v>
      </c>
      <c r="AO165" s="554">
        <f t="shared" si="49"/>
        <v>0</v>
      </c>
      <c r="AP165" s="554">
        <f t="shared" si="49"/>
        <v>0</v>
      </c>
      <c r="AQ165" s="554">
        <f t="shared" ref="AQ165:BH165" si="50">IF(AQ147=0,0,AP165+(AQ147/(1+$E$165)^AQ163))</f>
        <v>0</v>
      </c>
      <c r="AR165" s="554">
        <f t="shared" si="50"/>
        <v>0</v>
      </c>
      <c r="AS165" s="554">
        <f t="shared" si="50"/>
        <v>0</v>
      </c>
      <c r="AT165" s="554">
        <f t="shared" si="50"/>
        <v>0</v>
      </c>
      <c r="AU165" s="554">
        <f t="shared" si="50"/>
        <v>0</v>
      </c>
      <c r="AV165" s="554">
        <f t="shared" si="50"/>
        <v>0</v>
      </c>
      <c r="AW165" s="554">
        <f t="shared" si="50"/>
        <v>0</v>
      </c>
      <c r="AX165" s="554">
        <f t="shared" si="50"/>
        <v>0</v>
      </c>
      <c r="AY165" s="554">
        <f t="shared" si="50"/>
        <v>0</v>
      </c>
      <c r="AZ165" s="554">
        <f t="shared" si="50"/>
        <v>0</v>
      </c>
      <c r="BA165" s="554">
        <f t="shared" si="50"/>
        <v>0</v>
      </c>
      <c r="BB165" s="554">
        <f t="shared" si="50"/>
        <v>0</v>
      </c>
      <c r="BC165" s="554">
        <f t="shared" si="50"/>
        <v>0</v>
      </c>
      <c r="BD165" s="554">
        <f t="shared" si="50"/>
        <v>0</v>
      </c>
      <c r="BE165" s="554">
        <f t="shared" si="50"/>
        <v>0</v>
      </c>
      <c r="BF165" s="554">
        <f t="shared" si="50"/>
        <v>0</v>
      </c>
      <c r="BG165" s="554">
        <f t="shared" si="50"/>
        <v>0</v>
      </c>
      <c r="BH165" s="554">
        <f t="shared" si="50"/>
        <v>0</v>
      </c>
    </row>
    <row r="166" spans="1:60" x14ac:dyDescent="0.25">
      <c r="B166" s="908"/>
      <c r="C166" s="909"/>
      <c r="D166" s="913"/>
      <c r="E166" s="514">
        <f>E164*1.5</f>
        <v>0.09</v>
      </c>
      <c r="J166" s="554">
        <f>J152/(1+$E$166)^J163</f>
        <v>0</v>
      </c>
      <c r="K166" s="554">
        <f t="shared" ref="K166:AP166" si="51">IF(K147=0,0,J166+K147/(1+$E$166)^K163)</f>
        <v>0</v>
      </c>
      <c r="L166" s="554">
        <f t="shared" si="51"/>
        <v>0</v>
      </c>
      <c r="M166" s="554">
        <f t="shared" si="51"/>
        <v>0</v>
      </c>
      <c r="N166" s="554">
        <f t="shared" si="51"/>
        <v>0</v>
      </c>
      <c r="O166" s="554">
        <f t="shared" si="51"/>
        <v>0</v>
      </c>
      <c r="P166" s="554">
        <f t="shared" si="51"/>
        <v>0</v>
      </c>
      <c r="Q166" s="554">
        <f t="shared" si="51"/>
        <v>0</v>
      </c>
      <c r="R166" s="554">
        <f t="shared" si="51"/>
        <v>0</v>
      </c>
      <c r="S166" s="554">
        <f t="shared" si="51"/>
        <v>0</v>
      </c>
      <c r="T166" s="554">
        <f t="shared" si="51"/>
        <v>0</v>
      </c>
      <c r="U166" s="554">
        <f t="shared" si="51"/>
        <v>0</v>
      </c>
      <c r="V166" s="554">
        <f t="shared" si="51"/>
        <v>0</v>
      </c>
      <c r="W166" s="554">
        <f t="shared" si="51"/>
        <v>0</v>
      </c>
      <c r="X166" s="554">
        <f t="shared" si="51"/>
        <v>0</v>
      </c>
      <c r="Y166" s="554">
        <f t="shared" si="51"/>
        <v>0</v>
      </c>
      <c r="Z166" s="554">
        <f t="shared" si="51"/>
        <v>0</v>
      </c>
      <c r="AA166" s="554">
        <f t="shared" si="51"/>
        <v>0</v>
      </c>
      <c r="AB166" s="554">
        <f t="shared" si="51"/>
        <v>0</v>
      </c>
      <c r="AC166" s="554">
        <f t="shared" si="51"/>
        <v>0</v>
      </c>
      <c r="AD166" s="554">
        <f t="shared" si="51"/>
        <v>0</v>
      </c>
      <c r="AE166" s="554">
        <f t="shared" si="51"/>
        <v>0</v>
      </c>
      <c r="AF166" s="554">
        <f t="shared" si="51"/>
        <v>0</v>
      </c>
      <c r="AG166" s="554">
        <f t="shared" si="51"/>
        <v>0</v>
      </c>
      <c r="AH166" s="554">
        <f t="shared" si="51"/>
        <v>0</v>
      </c>
      <c r="AI166" s="554">
        <f t="shared" si="51"/>
        <v>0</v>
      </c>
      <c r="AJ166" s="554">
        <f t="shared" si="51"/>
        <v>0</v>
      </c>
      <c r="AK166" s="554">
        <f t="shared" si="51"/>
        <v>0</v>
      </c>
      <c r="AL166" s="554">
        <f t="shared" si="51"/>
        <v>0</v>
      </c>
      <c r="AM166" s="554">
        <f t="shared" si="51"/>
        <v>0</v>
      </c>
      <c r="AN166" s="554">
        <f t="shared" si="51"/>
        <v>0</v>
      </c>
      <c r="AO166" s="554">
        <f t="shared" si="51"/>
        <v>0</v>
      </c>
      <c r="AP166" s="554">
        <f t="shared" si="51"/>
        <v>0</v>
      </c>
      <c r="AQ166" s="554">
        <f t="shared" ref="AQ166:BH166" si="52">IF(AQ147=0,0,AP166+AQ147/(1+$E$166)^AQ163)</f>
        <v>0</v>
      </c>
      <c r="AR166" s="554">
        <f t="shared" si="52"/>
        <v>0</v>
      </c>
      <c r="AS166" s="554">
        <f t="shared" si="52"/>
        <v>0</v>
      </c>
      <c r="AT166" s="554">
        <f t="shared" si="52"/>
        <v>0</v>
      </c>
      <c r="AU166" s="554">
        <f t="shared" si="52"/>
        <v>0</v>
      </c>
      <c r="AV166" s="554">
        <f t="shared" si="52"/>
        <v>0</v>
      </c>
      <c r="AW166" s="554">
        <f t="shared" si="52"/>
        <v>0</v>
      </c>
      <c r="AX166" s="554">
        <f t="shared" si="52"/>
        <v>0</v>
      </c>
      <c r="AY166" s="554">
        <f t="shared" si="52"/>
        <v>0</v>
      </c>
      <c r="AZ166" s="554">
        <f t="shared" si="52"/>
        <v>0</v>
      </c>
      <c r="BA166" s="554">
        <f t="shared" si="52"/>
        <v>0</v>
      </c>
      <c r="BB166" s="554">
        <f t="shared" si="52"/>
        <v>0</v>
      </c>
      <c r="BC166" s="554">
        <f t="shared" si="52"/>
        <v>0</v>
      </c>
      <c r="BD166" s="554">
        <f t="shared" si="52"/>
        <v>0</v>
      </c>
      <c r="BE166" s="554">
        <f t="shared" si="52"/>
        <v>0</v>
      </c>
      <c r="BF166" s="554">
        <f t="shared" si="52"/>
        <v>0</v>
      </c>
      <c r="BG166" s="554">
        <f t="shared" si="52"/>
        <v>0</v>
      </c>
      <c r="BH166" s="554">
        <f t="shared" si="52"/>
        <v>0</v>
      </c>
    </row>
    <row r="167" spans="1:60" x14ac:dyDescent="0.25">
      <c r="B167" s="908"/>
      <c r="C167" s="909"/>
      <c r="D167" s="913"/>
      <c r="E167" s="514">
        <f>E164*1.75</f>
        <v>0.105</v>
      </c>
      <c r="J167" s="554">
        <f>J152/(1+$E$167)^J163</f>
        <v>0</v>
      </c>
      <c r="K167" s="554">
        <f t="shared" ref="K167:AP167" si="53">IF(K147=0,0,J167+K147/(1+$E$167)^K163)</f>
        <v>0</v>
      </c>
      <c r="L167" s="554">
        <f t="shared" si="53"/>
        <v>0</v>
      </c>
      <c r="M167" s="554">
        <f t="shared" si="53"/>
        <v>0</v>
      </c>
      <c r="N167" s="554">
        <f t="shared" si="53"/>
        <v>0</v>
      </c>
      <c r="O167" s="554">
        <f t="shared" si="53"/>
        <v>0</v>
      </c>
      <c r="P167" s="554">
        <f t="shared" si="53"/>
        <v>0</v>
      </c>
      <c r="Q167" s="554">
        <f t="shared" si="53"/>
        <v>0</v>
      </c>
      <c r="R167" s="554">
        <f t="shared" si="53"/>
        <v>0</v>
      </c>
      <c r="S167" s="554">
        <f t="shared" si="53"/>
        <v>0</v>
      </c>
      <c r="T167" s="554">
        <f t="shared" si="53"/>
        <v>0</v>
      </c>
      <c r="U167" s="554">
        <f t="shared" si="53"/>
        <v>0</v>
      </c>
      <c r="V167" s="554">
        <f t="shared" si="53"/>
        <v>0</v>
      </c>
      <c r="W167" s="554">
        <f t="shared" si="53"/>
        <v>0</v>
      </c>
      <c r="X167" s="554">
        <f t="shared" si="53"/>
        <v>0</v>
      </c>
      <c r="Y167" s="554">
        <f t="shared" si="53"/>
        <v>0</v>
      </c>
      <c r="Z167" s="554">
        <f t="shared" si="53"/>
        <v>0</v>
      </c>
      <c r="AA167" s="554">
        <f t="shared" si="53"/>
        <v>0</v>
      </c>
      <c r="AB167" s="554">
        <f t="shared" si="53"/>
        <v>0</v>
      </c>
      <c r="AC167" s="554">
        <f t="shared" si="53"/>
        <v>0</v>
      </c>
      <c r="AD167" s="554">
        <f t="shared" si="53"/>
        <v>0</v>
      </c>
      <c r="AE167" s="554">
        <f t="shared" si="53"/>
        <v>0</v>
      </c>
      <c r="AF167" s="554">
        <f t="shared" si="53"/>
        <v>0</v>
      </c>
      <c r="AG167" s="554">
        <f t="shared" si="53"/>
        <v>0</v>
      </c>
      <c r="AH167" s="554">
        <f t="shared" si="53"/>
        <v>0</v>
      </c>
      <c r="AI167" s="554">
        <f t="shared" si="53"/>
        <v>0</v>
      </c>
      <c r="AJ167" s="554">
        <f t="shared" si="53"/>
        <v>0</v>
      </c>
      <c r="AK167" s="554">
        <f t="shared" si="53"/>
        <v>0</v>
      </c>
      <c r="AL167" s="554">
        <f t="shared" si="53"/>
        <v>0</v>
      </c>
      <c r="AM167" s="554">
        <f t="shared" si="53"/>
        <v>0</v>
      </c>
      <c r="AN167" s="554">
        <f t="shared" si="53"/>
        <v>0</v>
      </c>
      <c r="AO167" s="554">
        <f t="shared" si="53"/>
        <v>0</v>
      </c>
      <c r="AP167" s="554">
        <f t="shared" si="53"/>
        <v>0</v>
      </c>
      <c r="AQ167" s="554">
        <f t="shared" ref="AQ167:BH167" si="54">IF(AQ147=0,0,AP167+AQ147/(1+$E$167)^AQ163)</f>
        <v>0</v>
      </c>
      <c r="AR167" s="554">
        <f t="shared" si="54"/>
        <v>0</v>
      </c>
      <c r="AS167" s="554">
        <f t="shared" si="54"/>
        <v>0</v>
      </c>
      <c r="AT167" s="554">
        <f t="shared" si="54"/>
        <v>0</v>
      </c>
      <c r="AU167" s="554">
        <f t="shared" si="54"/>
        <v>0</v>
      </c>
      <c r="AV167" s="554">
        <f t="shared" si="54"/>
        <v>0</v>
      </c>
      <c r="AW167" s="554">
        <f t="shared" si="54"/>
        <v>0</v>
      </c>
      <c r="AX167" s="554">
        <f t="shared" si="54"/>
        <v>0</v>
      </c>
      <c r="AY167" s="554">
        <f t="shared" si="54"/>
        <v>0</v>
      </c>
      <c r="AZ167" s="554">
        <f t="shared" si="54"/>
        <v>0</v>
      </c>
      <c r="BA167" s="554">
        <f t="shared" si="54"/>
        <v>0</v>
      </c>
      <c r="BB167" s="554">
        <f t="shared" si="54"/>
        <v>0</v>
      </c>
      <c r="BC167" s="554">
        <f t="shared" si="54"/>
        <v>0</v>
      </c>
      <c r="BD167" s="554">
        <f t="shared" si="54"/>
        <v>0</v>
      </c>
      <c r="BE167" s="554">
        <f t="shared" si="54"/>
        <v>0</v>
      </c>
      <c r="BF167" s="554">
        <f t="shared" si="54"/>
        <v>0</v>
      </c>
      <c r="BG167" s="554">
        <f t="shared" si="54"/>
        <v>0</v>
      </c>
      <c r="BH167" s="554">
        <f t="shared" si="54"/>
        <v>0</v>
      </c>
    </row>
    <row r="168" spans="1:60" x14ac:dyDescent="0.25">
      <c r="B168" s="910"/>
      <c r="C168" s="911"/>
      <c r="D168" s="914"/>
      <c r="E168" s="514">
        <f>E164*2</f>
        <v>0.12</v>
      </c>
      <c r="J168" s="554">
        <f>J152/(1+$E$168)^J163</f>
        <v>0</v>
      </c>
      <c r="K168" s="554">
        <f t="shared" ref="K168:AP168" si="55">IF(K147=0,0,J168+K147/(1+$E$168)^K163)</f>
        <v>0</v>
      </c>
      <c r="L168" s="554">
        <f t="shared" si="55"/>
        <v>0</v>
      </c>
      <c r="M168" s="554">
        <f t="shared" si="55"/>
        <v>0</v>
      </c>
      <c r="N168" s="554">
        <f t="shared" si="55"/>
        <v>0</v>
      </c>
      <c r="O168" s="554">
        <f t="shared" si="55"/>
        <v>0</v>
      </c>
      <c r="P168" s="554">
        <f t="shared" si="55"/>
        <v>0</v>
      </c>
      <c r="Q168" s="554">
        <f t="shared" si="55"/>
        <v>0</v>
      </c>
      <c r="R168" s="554">
        <f t="shared" si="55"/>
        <v>0</v>
      </c>
      <c r="S168" s="554">
        <f t="shared" si="55"/>
        <v>0</v>
      </c>
      <c r="T168" s="554">
        <f t="shared" si="55"/>
        <v>0</v>
      </c>
      <c r="U168" s="554">
        <f t="shared" si="55"/>
        <v>0</v>
      </c>
      <c r="V168" s="554">
        <f t="shared" si="55"/>
        <v>0</v>
      </c>
      <c r="W168" s="554">
        <f t="shared" si="55"/>
        <v>0</v>
      </c>
      <c r="X168" s="554">
        <f t="shared" si="55"/>
        <v>0</v>
      </c>
      <c r="Y168" s="554">
        <f t="shared" si="55"/>
        <v>0</v>
      </c>
      <c r="Z168" s="554">
        <f t="shared" si="55"/>
        <v>0</v>
      </c>
      <c r="AA168" s="554">
        <f t="shared" si="55"/>
        <v>0</v>
      </c>
      <c r="AB168" s="554">
        <f t="shared" si="55"/>
        <v>0</v>
      </c>
      <c r="AC168" s="554">
        <f t="shared" si="55"/>
        <v>0</v>
      </c>
      <c r="AD168" s="554">
        <f t="shared" si="55"/>
        <v>0</v>
      </c>
      <c r="AE168" s="554">
        <f t="shared" si="55"/>
        <v>0</v>
      </c>
      <c r="AF168" s="554">
        <f t="shared" si="55"/>
        <v>0</v>
      </c>
      <c r="AG168" s="554">
        <f t="shared" si="55"/>
        <v>0</v>
      </c>
      <c r="AH168" s="554">
        <f t="shared" si="55"/>
        <v>0</v>
      </c>
      <c r="AI168" s="554">
        <f t="shared" si="55"/>
        <v>0</v>
      </c>
      <c r="AJ168" s="554">
        <f t="shared" si="55"/>
        <v>0</v>
      </c>
      <c r="AK168" s="554">
        <f t="shared" si="55"/>
        <v>0</v>
      </c>
      <c r="AL168" s="554">
        <f t="shared" si="55"/>
        <v>0</v>
      </c>
      <c r="AM168" s="554">
        <f t="shared" si="55"/>
        <v>0</v>
      </c>
      <c r="AN168" s="554">
        <f t="shared" si="55"/>
        <v>0</v>
      </c>
      <c r="AO168" s="554">
        <f t="shared" si="55"/>
        <v>0</v>
      </c>
      <c r="AP168" s="554">
        <f t="shared" si="55"/>
        <v>0</v>
      </c>
      <c r="AQ168" s="554">
        <f t="shared" ref="AQ168:BH168" si="56">IF(AQ147=0,0,AP168+AQ147/(1+$E$168)^AQ163)</f>
        <v>0</v>
      </c>
      <c r="AR168" s="554">
        <f t="shared" si="56"/>
        <v>0</v>
      </c>
      <c r="AS168" s="554">
        <f t="shared" si="56"/>
        <v>0</v>
      </c>
      <c r="AT168" s="554">
        <f t="shared" si="56"/>
        <v>0</v>
      </c>
      <c r="AU168" s="554">
        <f t="shared" si="56"/>
        <v>0</v>
      </c>
      <c r="AV168" s="554">
        <f t="shared" si="56"/>
        <v>0</v>
      </c>
      <c r="AW168" s="554">
        <f t="shared" si="56"/>
        <v>0</v>
      </c>
      <c r="AX168" s="554">
        <f t="shared" si="56"/>
        <v>0</v>
      </c>
      <c r="AY168" s="554">
        <f t="shared" si="56"/>
        <v>0</v>
      </c>
      <c r="AZ168" s="554">
        <f t="shared" si="56"/>
        <v>0</v>
      </c>
      <c r="BA168" s="554">
        <f t="shared" si="56"/>
        <v>0</v>
      </c>
      <c r="BB168" s="554">
        <f t="shared" si="56"/>
        <v>0</v>
      </c>
      <c r="BC168" s="554">
        <f t="shared" si="56"/>
        <v>0</v>
      </c>
      <c r="BD168" s="554">
        <f t="shared" si="56"/>
        <v>0</v>
      </c>
      <c r="BE168" s="554">
        <f t="shared" si="56"/>
        <v>0</v>
      </c>
      <c r="BF168" s="554">
        <f t="shared" si="56"/>
        <v>0</v>
      </c>
      <c r="BG168" s="554">
        <f t="shared" si="56"/>
        <v>0</v>
      </c>
      <c r="BH168" s="554">
        <f t="shared" si="56"/>
        <v>0</v>
      </c>
    </row>
    <row r="170" spans="1:60" x14ac:dyDescent="0.25">
      <c r="A170" s="810"/>
      <c r="B170" s="810"/>
      <c r="C170" s="810"/>
      <c r="D170" s="810"/>
    </row>
    <row r="171" spans="1:60" x14ac:dyDescent="0.25">
      <c r="A171" s="810"/>
      <c r="B171" s="810"/>
      <c r="C171" s="811"/>
      <c r="D171" s="810"/>
    </row>
    <row r="172" spans="1:60" x14ac:dyDescent="0.25">
      <c r="A172" s="810"/>
      <c r="B172" s="810"/>
      <c r="C172" s="810"/>
      <c r="D172" s="810"/>
    </row>
  </sheetData>
  <mergeCells count="32">
    <mergeCell ref="C127:E127"/>
    <mergeCell ref="B144:C144"/>
    <mergeCell ref="F144:F147"/>
    <mergeCell ref="B145:C145"/>
    <mergeCell ref="B147:C147"/>
    <mergeCell ref="B128:F128"/>
    <mergeCell ref="B146:C146"/>
    <mergeCell ref="B164:C168"/>
    <mergeCell ref="D164:D168"/>
    <mergeCell ref="B151:C151"/>
    <mergeCell ref="F151:F152"/>
    <mergeCell ref="B152:C152"/>
    <mergeCell ref="B154:C154"/>
    <mergeCell ref="B155:C155"/>
    <mergeCell ref="B156:C156"/>
    <mergeCell ref="B158:C158"/>
    <mergeCell ref="B159:C159"/>
    <mergeCell ref="B160:C160"/>
    <mergeCell ref="F158:F160"/>
    <mergeCell ref="B157:C157"/>
    <mergeCell ref="A1:K1"/>
    <mergeCell ref="B6:B7"/>
    <mergeCell ref="E116:F116"/>
    <mergeCell ref="E115:F115"/>
    <mergeCell ref="E21:F21"/>
    <mergeCell ref="F6:F7"/>
    <mergeCell ref="F8:F17"/>
    <mergeCell ref="B18:E18"/>
    <mergeCell ref="B49:F49"/>
    <mergeCell ref="B112:E112"/>
    <mergeCell ref="G115:H115"/>
    <mergeCell ref="G20:H20"/>
  </mergeCells>
  <conditionalFormatting sqref="L79:AN79 K82:AM110 BH82:BH110 K117:BH127">
    <cfRule type="cellIs" dxfId="8" priority="9" operator="notEqual">
      <formula>0</formula>
    </cfRule>
  </conditionalFormatting>
  <conditionalFormatting sqref="J164:BH168 J147:BH147 J151:BH152">
    <cfRule type="cellIs" dxfId="7" priority="7" operator="lessThan">
      <formula>0</formula>
    </cfRule>
    <cfRule type="cellIs" dxfId="6" priority="8" operator="greaterThan">
      <formula>0</formula>
    </cfRule>
  </conditionalFormatting>
  <conditionalFormatting sqref="K79:AN79">
    <cfRule type="cellIs" dxfId="5" priority="6" operator="notEqual">
      <formula>0</formula>
    </cfRule>
  </conditionalFormatting>
  <conditionalFormatting sqref="K111:AM111 BH111">
    <cfRule type="cellIs" dxfId="4" priority="5" operator="notEqual">
      <formula>0</formula>
    </cfRule>
  </conditionalFormatting>
  <conditionalFormatting sqref="AN82:BG110">
    <cfRule type="cellIs" dxfId="3" priority="4" operator="notEqual">
      <formula>0</formula>
    </cfRule>
  </conditionalFormatting>
  <conditionalFormatting sqref="AN111:BG111">
    <cfRule type="cellIs" dxfId="2" priority="3" operator="notEqual">
      <formula>0</formula>
    </cfRule>
  </conditionalFormatting>
  <conditionalFormatting sqref="K163:BH163 K143:BH143 K130:BH130 K115:BH115 K81:BH81 K21:BH21 K51:BH51">
    <cfRule type="cellIs" dxfId="1" priority="10" operator="greaterThan">
      <formula>$D$3</formula>
    </cfRule>
    <cfRule type="cellIs" dxfId="0" priority="11" operator="lessThanOrEqual">
      <formula>$D$3</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6">
    <tabColor theme="2" tint="-0.499984740745262"/>
  </sheetPr>
  <dimension ref="A1:H20"/>
  <sheetViews>
    <sheetView workbookViewId="0">
      <selection activeCell="C7" sqref="C7:C17"/>
    </sheetView>
  </sheetViews>
  <sheetFormatPr baseColWidth="10" defaultColWidth="10.7109375" defaultRowHeight="15" x14ac:dyDescent="0.25"/>
  <cols>
    <col min="2" max="2" width="30.42578125" bestFit="1" customWidth="1"/>
    <col min="3" max="3" width="26.42578125" bestFit="1" customWidth="1"/>
    <col min="4" max="4" width="30.42578125" bestFit="1" customWidth="1"/>
    <col min="6" max="6" width="30.42578125" bestFit="1" customWidth="1"/>
    <col min="8" max="8" width="30.42578125" bestFit="1" customWidth="1"/>
  </cols>
  <sheetData>
    <row r="1" spans="1:8" ht="20.25" thickBot="1" x14ac:dyDescent="0.35">
      <c r="A1" s="9" t="s">
        <v>1558</v>
      </c>
      <c r="B1" s="2"/>
    </row>
    <row r="2" spans="1:8" ht="15.75" thickTop="1" x14ac:dyDescent="0.25"/>
    <row r="3" spans="1:8" x14ac:dyDescent="0.25">
      <c r="B3" s="43" t="s">
        <v>472</v>
      </c>
    </row>
    <row r="4" spans="1:8" ht="15.75" thickBot="1" x14ac:dyDescent="0.3">
      <c r="B4" s="43"/>
    </row>
    <row r="5" spans="1:8" ht="15.75" thickBot="1" x14ac:dyDescent="0.3">
      <c r="F5" s="880" t="s">
        <v>442</v>
      </c>
      <c r="G5" s="881"/>
      <c r="H5" s="882"/>
    </row>
    <row r="6" spans="1:8" ht="15.75" thickBot="1" x14ac:dyDescent="0.3">
      <c r="B6" s="41"/>
      <c r="C6" s="44" t="s">
        <v>452</v>
      </c>
      <c r="D6" s="42" t="s">
        <v>449</v>
      </c>
      <c r="F6" s="41"/>
      <c r="G6" s="44" t="s">
        <v>7</v>
      </c>
      <c r="H6" s="42" t="s">
        <v>290</v>
      </c>
    </row>
    <row r="7" spans="1:8" x14ac:dyDescent="0.25">
      <c r="B7" s="11" t="s">
        <v>443</v>
      </c>
      <c r="C7" s="629"/>
      <c r="D7" s="115">
        <f>C7*H7</f>
        <v>0</v>
      </c>
      <c r="F7" s="11" t="s">
        <v>293</v>
      </c>
      <c r="G7" s="12" t="s">
        <v>285</v>
      </c>
      <c r="H7" s="23">
        <v>1</v>
      </c>
    </row>
    <row r="8" spans="1:8" x14ac:dyDescent="0.25">
      <c r="B8" s="13" t="s">
        <v>444</v>
      </c>
      <c r="C8" s="104"/>
      <c r="D8" s="116">
        <f t="shared" ref="D8:D17" si="0">C8*H8</f>
        <v>0</v>
      </c>
      <c r="F8" s="13" t="s">
        <v>296</v>
      </c>
      <c r="G8" s="10" t="s">
        <v>292</v>
      </c>
      <c r="H8" s="24">
        <v>15</v>
      </c>
    </row>
    <row r="9" spans="1:8" x14ac:dyDescent="0.25">
      <c r="B9" s="13" t="s">
        <v>445</v>
      </c>
      <c r="C9" s="104"/>
      <c r="D9" s="116">
        <f>C9*H9</f>
        <v>0</v>
      </c>
      <c r="F9" s="13" t="s">
        <v>289</v>
      </c>
      <c r="G9" s="10" t="s">
        <v>288</v>
      </c>
      <c r="H9" s="24">
        <v>459.8</v>
      </c>
    </row>
    <row r="10" spans="1:8" x14ac:dyDescent="0.25">
      <c r="B10" s="13" t="s">
        <v>450</v>
      </c>
      <c r="C10" s="628"/>
      <c r="D10" s="116">
        <f t="shared" si="0"/>
        <v>0</v>
      </c>
      <c r="F10" s="13" t="s">
        <v>289</v>
      </c>
      <c r="G10" s="10" t="s">
        <v>295</v>
      </c>
      <c r="H10" s="24">
        <v>768.8</v>
      </c>
    </row>
    <row r="11" spans="1:8" x14ac:dyDescent="0.25">
      <c r="B11" s="13" t="s">
        <v>446</v>
      </c>
      <c r="C11" s="104"/>
      <c r="D11" s="116">
        <f t="shared" si="0"/>
        <v>0</v>
      </c>
      <c r="F11" s="13" t="s">
        <v>291</v>
      </c>
      <c r="G11" s="10" t="s">
        <v>292</v>
      </c>
      <c r="H11" s="24">
        <v>11</v>
      </c>
    </row>
    <row r="12" spans="1:8" x14ac:dyDescent="0.25">
      <c r="B12" s="13" t="s">
        <v>447</v>
      </c>
      <c r="C12" s="104"/>
      <c r="D12" s="116">
        <f t="shared" si="0"/>
        <v>0</v>
      </c>
      <c r="F12" s="13" t="s">
        <v>294</v>
      </c>
      <c r="G12" s="10" t="s">
        <v>288</v>
      </c>
      <c r="H12" s="24">
        <v>0.53800000000000003</v>
      </c>
    </row>
    <row r="13" spans="1:8" x14ac:dyDescent="0.25">
      <c r="B13" s="13" t="s">
        <v>448</v>
      </c>
      <c r="C13" s="104"/>
      <c r="D13" s="116">
        <f t="shared" si="0"/>
        <v>0</v>
      </c>
      <c r="F13" s="13" t="s">
        <v>297</v>
      </c>
      <c r="G13" s="10" t="s">
        <v>288</v>
      </c>
      <c r="H13" s="24">
        <v>12</v>
      </c>
    </row>
    <row r="14" spans="1:8" x14ac:dyDescent="0.25">
      <c r="B14" s="13" t="s">
        <v>476</v>
      </c>
      <c r="C14" s="104"/>
      <c r="D14" s="116">
        <f t="shared" si="0"/>
        <v>0</v>
      </c>
      <c r="F14" s="13" t="s">
        <v>474</v>
      </c>
      <c r="G14" s="10" t="s">
        <v>473</v>
      </c>
      <c r="H14" s="24">
        <v>178</v>
      </c>
    </row>
    <row r="15" spans="1:8" x14ac:dyDescent="0.25">
      <c r="B15" s="13" t="s">
        <v>477</v>
      </c>
      <c r="C15" s="104"/>
      <c r="D15" s="116">
        <f t="shared" si="0"/>
        <v>0</v>
      </c>
      <c r="F15" s="13" t="s">
        <v>475</v>
      </c>
      <c r="G15" s="10" t="s">
        <v>473</v>
      </c>
      <c r="H15" s="24">
        <v>180</v>
      </c>
    </row>
    <row r="16" spans="1:8" x14ac:dyDescent="0.25">
      <c r="B16" s="13"/>
      <c r="C16" s="104"/>
      <c r="D16" s="116">
        <f t="shared" si="0"/>
        <v>0</v>
      </c>
      <c r="F16" s="13"/>
      <c r="G16" s="10"/>
      <c r="H16" s="24"/>
    </row>
    <row r="17" spans="2:8" ht="15.75" thickBot="1" x14ac:dyDescent="0.3">
      <c r="B17" s="14"/>
      <c r="C17" s="108"/>
      <c r="D17" s="117">
        <f t="shared" si="0"/>
        <v>0</v>
      </c>
      <c r="F17" s="14"/>
      <c r="G17" s="15"/>
      <c r="H17" s="25"/>
    </row>
    <row r="19" spans="2:8" ht="15.75" thickBot="1" x14ac:dyDescent="0.3"/>
    <row r="20" spans="2:8" ht="15.75" thickBot="1" x14ac:dyDescent="0.3">
      <c r="B20" s="926" t="s">
        <v>451</v>
      </c>
      <c r="C20" s="927"/>
      <c r="D20" s="118">
        <f>SUM(D7:D17)/1000</f>
        <v>0</v>
      </c>
    </row>
  </sheetData>
  <mergeCells count="2">
    <mergeCell ref="F5:H5"/>
    <mergeCell ref="B20:C20"/>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BF13E-0F38-4B5D-95BA-86D717393A8E}">
  <sheetPr codeName="Feuil12">
    <tabColor theme="2" tint="-0.499984740745262"/>
  </sheetPr>
  <dimension ref="A1:I31"/>
  <sheetViews>
    <sheetView workbookViewId="0">
      <selection activeCell="J10" sqref="J10"/>
    </sheetView>
  </sheetViews>
  <sheetFormatPr baseColWidth="10" defaultColWidth="10.7109375" defaultRowHeight="15" x14ac:dyDescent="0.25"/>
  <cols>
    <col min="3" max="3" width="13.42578125" customWidth="1"/>
    <col min="4" max="4" width="13.42578125" style="59" customWidth="1"/>
    <col min="8" max="8" width="12" bestFit="1" customWidth="1"/>
    <col min="9" max="9" width="16.42578125" bestFit="1" customWidth="1"/>
  </cols>
  <sheetData>
    <row r="1" spans="1:9" ht="20.25" thickBot="1" x14ac:dyDescent="0.35">
      <c r="A1" s="9" t="s">
        <v>1113</v>
      </c>
      <c r="B1" s="2"/>
      <c r="C1" s="2"/>
      <c r="D1" s="2"/>
      <c r="E1" s="2"/>
      <c r="F1" s="59"/>
      <c r="G1" s="59"/>
      <c r="H1" s="59"/>
      <c r="I1" s="59"/>
    </row>
    <row r="2" spans="1:9" ht="16.5" thickTop="1" thickBot="1" x14ac:dyDescent="0.3">
      <c r="A2" s="59"/>
      <c r="B2" s="59"/>
      <c r="C2" s="59"/>
      <c r="E2" s="59"/>
      <c r="F2" s="59"/>
      <c r="G2" s="59"/>
      <c r="H2" s="59"/>
      <c r="I2" s="59"/>
    </row>
    <row r="3" spans="1:9" ht="15.75" thickBot="1" x14ac:dyDescent="0.3">
      <c r="A3" s="59"/>
      <c r="B3" s="26" t="s">
        <v>1561</v>
      </c>
      <c r="C3" s="670" t="s">
        <v>485</v>
      </c>
      <c r="D3" s="928" t="s">
        <v>3</v>
      </c>
      <c r="E3" s="848"/>
      <c r="F3" s="671" t="s">
        <v>1102</v>
      </c>
      <c r="G3" s="91" t="s">
        <v>117</v>
      </c>
      <c r="H3" s="91" t="s">
        <v>486</v>
      </c>
      <c r="I3" s="92" t="s">
        <v>1103</v>
      </c>
    </row>
    <row r="4" spans="1:9" x14ac:dyDescent="0.25">
      <c r="A4" s="59"/>
      <c r="B4" s="941" t="s">
        <v>481</v>
      </c>
      <c r="C4" s="942">
        <v>0</v>
      </c>
      <c r="D4" s="672" t="s">
        <v>1559</v>
      </c>
      <c r="E4" s="473">
        <v>0.2</v>
      </c>
      <c r="F4" s="667">
        <v>1</v>
      </c>
      <c r="G4" s="944">
        <f>IF(C4=0,0,IF(C4&lt;=E4,F4,IF(C4&lt;=E5,F5,IF(C4&gt;E6,F6))))</f>
        <v>0</v>
      </c>
      <c r="H4" s="945">
        <v>0</v>
      </c>
      <c r="I4" s="929" t="str">
        <f>IF(H4&lt;&gt;0,G4*H4/100%,"No Data")</f>
        <v>No Data</v>
      </c>
    </row>
    <row r="5" spans="1:9" x14ac:dyDescent="0.25">
      <c r="A5" s="59"/>
      <c r="B5" s="932"/>
      <c r="C5" s="943"/>
      <c r="D5" s="669" t="s">
        <v>1559</v>
      </c>
      <c r="E5" s="470">
        <v>0.5</v>
      </c>
      <c r="F5" s="668">
        <v>2</v>
      </c>
      <c r="G5" s="935"/>
      <c r="H5" s="936"/>
      <c r="I5" s="930"/>
    </row>
    <row r="6" spans="1:9" x14ac:dyDescent="0.25">
      <c r="A6" s="59"/>
      <c r="B6" s="932"/>
      <c r="C6" s="943"/>
      <c r="D6" s="669" t="s">
        <v>1560</v>
      </c>
      <c r="E6" s="470">
        <v>0.5</v>
      </c>
      <c r="F6" s="668">
        <v>3</v>
      </c>
      <c r="G6" s="935"/>
      <c r="H6" s="936"/>
      <c r="I6" s="930"/>
    </row>
    <row r="7" spans="1:9" x14ac:dyDescent="0.25">
      <c r="A7" s="59"/>
      <c r="B7" s="932" t="s">
        <v>482</v>
      </c>
      <c r="C7" s="933">
        <v>0</v>
      </c>
      <c r="D7" s="669" t="s">
        <v>1559</v>
      </c>
      <c r="E7" s="473">
        <v>0.2</v>
      </c>
      <c r="F7" s="10">
        <v>1</v>
      </c>
      <c r="G7" s="935">
        <f t="shared" ref="G7" si="0">IF(C7=0,0,IF(C7&lt;=E7,F7,IF(C7&lt;=E8,F8,IF(C7&gt;E9,F9))))</f>
        <v>0</v>
      </c>
      <c r="H7" s="936">
        <v>0</v>
      </c>
      <c r="I7" s="929" t="str">
        <f t="shared" ref="I7" si="1">IF(H7&lt;&gt;0,G7*H7/100%,"No Data")</f>
        <v>No Data</v>
      </c>
    </row>
    <row r="8" spans="1:9" x14ac:dyDescent="0.25">
      <c r="A8" s="59"/>
      <c r="B8" s="932"/>
      <c r="C8" s="934"/>
      <c r="D8" s="669" t="s">
        <v>1559</v>
      </c>
      <c r="E8" s="470">
        <v>0.5</v>
      </c>
      <c r="F8" s="10">
        <v>2</v>
      </c>
      <c r="G8" s="935"/>
      <c r="H8" s="936"/>
      <c r="I8" s="930"/>
    </row>
    <row r="9" spans="1:9" x14ac:dyDescent="0.25">
      <c r="A9" s="59"/>
      <c r="B9" s="932"/>
      <c r="C9" s="934"/>
      <c r="D9" s="669" t="s">
        <v>1560</v>
      </c>
      <c r="E9" s="470">
        <v>0.5</v>
      </c>
      <c r="F9" s="10">
        <v>3</v>
      </c>
      <c r="G9" s="935"/>
      <c r="H9" s="936"/>
      <c r="I9" s="930"/>
    </row>
    <row r="10" spans="1:9" x14ac:dyDescent="0.25">
      <c r="A10" s="59"/>
      <c r="B10" s="932" t="s">
        <v>483</v>
      </c>
      <c r="C10" s="933">
        <v>0</v>
      </c>
      <c r="D10" s="669" t="s">
        <v>1559</v>
      </c>
      <c r="E10" s="470">
        <v>0.2</v>
      </c>
      <c r="F10" s="10">
        <v>1</v>
      </c>
      <c r="G10" s="935">
        <f t="shared" ref="G10" si="2">IF(C10=0,0,IF(C10&lt;=E10,F10,IF(C10&lt;=E11,F11,IF(C10&gt;E12,F12))))</f>
        <v>0</v>
      </c>
      <c r="H10" s="936">
        <v>0</v>
      </c>
      <c r="I10" s="929" t="str">
        <f t="shared" ref="I10" si="3">IF(H10&lt;&gt;0,G10*H10/100%,"No Data")</f>
        <v>No Data</v>
      </c>
    </row>
    <row r="11" spans="1:9" x14ac:dyDescent="0.25">
      <c r="A11" s="59"/>
      <c r="B11" s="932"/>
      <c r="C11" s="934"/>
      <c r="D11" s="669" t="s">
        <v>1559</v>
      </c>
      <c r="E11" s="470">
        <v>0.5</v>
      </c>
      <c r="F11" s="10">
        <v>2</v>
      </c>
      <c r="G11" s="935"/>
      <c r="H11" s="936"/>
      <c r="I11" s="930"/>
    </row>
    <row r="12" spans="1:9" x14ac:dyDescent="0.25">
      <c r="A12" s="59"/>
      <c r="B12" s="932"/>
      <c r="C12" s="934"/>
      <c r="D12" s="669" t="s">
        <v>1560</v>
      </c>
      <c r="E12" s="470">
        <v>0.5</v>
      </c>
      <c r="F12" s="10">
        <v>3</v>
      </c>
      <c r="G12" s="935"/>
      <c r="H12" s="936"/>
      <c r="I12" s="930"/>
    </row>
    <row r="13" spans="1:9" x14ac:dyDescent="0.25">
      <c r="A13" s="59"/>
      <c r="B13" s="932" t="s">
        <v>484</v>
      </c>
      <c r="C13" s="933">
        <v>0</v>
      </c>
      <c r="D13" s="669" t="s">
        <v>1559</v>
      </c>
      <c r="E13" s="470">
        <v>0.2</v>
      </c>
      <c r="F13" s="10">
        <v>1</v>
      </c>
      <c r="G13" s="935">
        <f t="shared" ref="G13" si="4">IF(C13=0,0,IF(C13&lt;=E13,F13,IF(C13&lt;=E14,F14,IF(C13&gt;E15,F15))))</f>
        <v>0</v>
      </c>
      <c r="H13" s="936">
        <v>0</v>
      </c>
      <c r="I13" s="929" t="str">
        <f t="shared" ref="I13" si="5">IF(H13&lt;&gt;0,G13*H13/100%,"No Data")</f>
        <v>No Data</v>
      </c>
    </row>
    <row r="14" spans="1:9" x14ac:dyDescent="0.25">
      <c r="A14" s="59"/>
      <c r="B14" s="932"/>
      <c r="C14" s="934"/>
      <c r="D14" s="669" t="s">
        <v>1559</v>
      </c>
      <c r="E14" s="470">
        <v>0.5</v>
      </c>
      <c r="F14" s="10">
        <v>2</v>
      </c>
      <c r="G14" s="935"/>
      <c r="H14" s="936"/>
      <c r="I14" s="930"/>
    </row>
    <row r="15" spans="1:9" x14ac:dyDescent="0.25">
      <c r="A15" s="59"/>
      <c r="B15" s="932"/>
      <c r="C15" s="934"/>
      <c r="D15" s="669" t="s">
        <v>1560</v>
      </c>
      <c r="E15" s="470">
        <v>0.5</v>
      </c>
      <c r="F15" s="10">
        <v>3</v>
      </c>
      <c r="G15" s="935"/>
      <c r="H15" s="936"/>
      <c r="I15" s="930"/>
    </row>
    <row r="16" spans="1:9" x14ac:dyDescent="0.25">
      <c r="A16" s="59"/>
      <c r="B16" s="932"/>
      <c r="C16" s="933">
        <v>0</v>
      </c>
      <c r="D16" s="669" t="s">
        <v>1559</v>
      </c>
      <c r="E16" s="470">
        <v>0.2</v>
      </c>
      <c r="F16" s="10">
        <v>1</v>
      </c>
      <c r="G16" s="935">
        <f t="shared" ref="G16" si="6">IF(C16=0,0,IF(C16&lt;=E16,F16,IF(C16&lt;=E17,F17,IF(C16&gt;E18,F18))))</f>
        <v>0</v>
      </c>
      <c r="H16" s="936">
        <v>0</v>
      </c>
      <c r="I16" s="929" t="str">
        <f t="shared" ref="I16" si="7">IF(H16&lt;&gt;0,G16*H16/100%,"No Data")</f>
        <v>No Data</v>
      </c>
    </row>
    <row r="17" spans="1:9" x14ac:dyDescent="0.25">
      <c r="A17" s="59"/>
      <c r="B17" s="932"/>
      <c r="C17" s="934"/>
      <c r="D17" s="669" t="s">
        <v>1559</v>
      </c>
      <c r="E17" s="470">
        <v>0.5</v>
      </c>
      <c r="F17" s="10">
        <v>2</v>
      </c>
      <c r="G17" s="935"/>
      <c r="H17" s="936"/>
      <c r="I17" s="930"/>
    </row>
    <row r="18" spans="1:9" x14ac:dyDescent="0.25">
      <c r="A18" s="59"/>
      <c r="B18" s="932"/>
      <c r="C18" s="934"/>
      <c r="D18" s="669" t="s">
        <v>1560</v>
      </c>
      <c r="E18" s="470">
        <v>0.5</v>
      </c>
      <c r="F18" s="10">
        <v>3</v>
      </c>
      <c r="G18" s="935"/>
      <c r="H18" s="936"/>
      <c r="I18" s="930"/>
    </row>
    <row r="19" spans="1:9" x14ac:dyDescent="0.25">
      <c r="A19" s="59"/>
      <c r="B19" s="932"/>
      <c r="C19" s="933">
        <v>0</v>
      </c>
      <c r="D19" s="669" t="s">
        <v>1559</v>
      </c>
      <c r="E19" s="470">
        <v>0.2</v>
      </c>
      <c r="F19" s="10">
        <v>1</v>
      </c>
      <c r="G19" s="935">
        <f t="shared" ref="G19" si="8">IF(C19=0,0,IF(C19&lt;=E19,F19,IF(C19&lt;=E20,F20,IF(C19&gt;E21,F21))))</f>
        <v>0</v>
      </c>
      <c r="H19" s="936">
        <v>0</v>
      </c>
      <c r="I19" s="929" t="str">
        <f t="shared" ref="I19" si="9">IF(H19&lt;&gt;0,G19*H19/100%,"No Data")</f>
        <v>No Data</v>
      </c>
    </row>
    <row r="20" spans="1:9" x14ac:dyDescent="0.25">
      <c r="A20" s="59"/>
      <c r="B20" s="932"/>
      <c r="C20" s="934"/>
      <c r="D20" s="669" t="s">
        <v>1559</v>
      </c>
      <c r="E20" s="470">
        <v>0.5</v>
      </c>
      <c r="F20" s="10">
        <v>2</v>
      </c>
      <c r="G20" s="935"/>
      <c r="H20" s="936"/>
      <c r="I20" s="930"/>
    </row>
    <row r="21" spans="1:9" x14ac:dyDescent="0.25">
      <c r="A21" s="59"/>
      <c r="B21" s="932"/>
      <c r="C21" s="934"/>
      <c r="D21" s="669" t="s">
        <v>1560</v>
      </c>
      <c r="E21" s="470">
        <v>0.5</v>
      </c>
      <c r="F21" s="10">
        <v>3</v>
      </c>
      <c r="G21" s="935"/>
      <c r="H21" s="936"/>
      <c r="I21" s="930"/>
    </row>
    <row r="22" spans="1:9" x14ac:dyDescent="0.25">
      <c r="A22" s="59"/>
      <c r="B22" s="932"/>
      <c r="C22" s="933">
        <v>0</v>
      </c>
      <c r="D22" s="669" t="s">
        <v>1559</v>
      </c>
      <c r="E22" s="470">
        <v>0.2</v>
      </c>
      <c r="F22" s="10">
        <v>1</v>
      </c>
      <c r="G22" s="935">
        <f t="shared" ref="G22" si="10">IF(C22=0,0,IF(C22&lt;=E22,F22,IF(C22&lt;=E23,F23,IF(C22&gt;E24,F24))))</f>
        <v>0</v>
      </c>
      <c r="H22" s="936">
        <v>0</v>
      </c>
      <c r="I22" s="929" t="str">
        <f t="shared" ref="I22" si="11">IF(H22&lt;&gt;0,G22*H22/100%,"No Data")</f>
        <v>No Data</v>
      </c>
    </row>
    <row r="23" spans="1:9" x14ac:dyDescent="0.25">
      <c r="A23" s="59"/>
      <c r="B23" s="932"/>
      <c r="C23" s="934"/>
      <c r="D23" s="669" t="s">
        <v>1559</v>
      </c>
      <c r="E23" s="470">
        <v>0.5</v>
      </c>
      <c r="F23" s="10">
        <v>2</v>
      </c>
      <c r="G23" s="935"/>
      <c r="H23" s="936"/>
      <c r="I23" s="930"/>
    </row>
    <row r="24" spans="1:9" x14ac:dyDescent="0.25">
      <c r="A24" s="59"/>
      <c r="B24" s="932"/>
      <c r="C24" s="934"/>
      <c r="D24" s="669" t="s">
        <v>1560</v>
      </c>
      <c r="E24" s="470">
        <v>0.5</v>
      </c>
      <c r="F24" s="10">
        <v>3</v>
      </c>
      <c r="G24" s="935"/>
      <c r="H24" s="936"/>
      <c r="I24" s="930"/>
    </row>
    <row r="25" spans="1:9" x14ac:dyDescent="0.25">
      <c r="A25" s="59"/>
      <c r="B25" s="932"/>
      <c r="C25" s="933">
        <v>0</v>
      </c>
      <c r="D25" s="669" t="s">
        <v>1559</v>
      </c>
      <c r="E25" s="470">
        <v>0.2</v>
      </c>
      <c r="F25" s="10">
        <v>1</v>
      </c>
      <c r="G25" s="935">
        <f t="shared" ref="G25" si="12">IF(C25=0,0,IF(C25&lt;=E25,F25,IF(C25&lt;=E26,F26,IF(C25&gt;E27,F27))))</f>
        <v>0</v>
      </c>
      <c r="H25" s="936">
        <v>0</v>
      </c>
      <c r="I25" s="929" t="str">
        <f t="shared" ref="I25" si="13">IF(H25&lt;&gt;0,G25*H25/100%,"No Data")</f>
        <v>No Data</v>
      </c>
    </row>
    <row r="26" spans="1:9" x14ac:dyDescent="0.25">
      <c r="A26" s="59"/>
      <c r="B26" s="932"/>
      <c r="C26" s="934"/>
      <c r="D26" s="669" t="s">
        <v>1559</v>
      </c>
      <c r="E26" s="470">
        <v>0.5</v>
      </c>
      <c r="F26" s="10">
        <v>2</v>
      </c>
      <c r="G26" s="935"/>
      <c r="H26" s="936"/>
      <c r="I26" s="930"/>
    </row>
    <row r="27" spans="1:9" x14ac:dyDescent="0.25">
      <c r="A27" s="59"/>
      <c r="B27" s="932"/>
      <c r="C27" s="934"/>
      <c r="D27" s="669" t="s">
        <v>1560</v>
      </c>
      <c r="E27" s="470">
        <v>0.5</v>
      </c>
      <c r="F27" s="10">
        <v>3</v>
      </c>
      <c r="G27" s="935"/>
      <c r="H27" s="936"/>
      <c r="I27" s="930"/>
    </row>
    <row r="28" spans="1:9" x14ac:dyDescent="0.25">
      <c r="A28" s="59"/>
      <c r="B28" s="932"/>
      <c r="C28" s="933">
        <v>0</v>
      </c>
      <c r="D28" s="669" t="s">
        <v>1559</v>
      </c>
      <c r="E28" s="470">
        <v>0.2</v>
      </c>
      <c r="F28" s="10">
        <v>1</v>
      </c>
      <c r="G28" s="935">
        <f t="shared" ref="G28" si="14">IF(C28=0,0,IF(C28&lt;=E28,F28,IF(C28&lt;=E29,F29,IF(C28&gt;E30,F30))))</f>
        <v>0</v>
      </c>
      <c r="H28" s="936">
        <v>0</v>
      </c>
      <c r="I28" s="929" t="str">
        <f t="shared" ref="I28" si="15">IF(H28&lt;&gt;0,G28*H28/100%,"No Data")</f>
        <v>No Data</v>
      </c>
    </row>
    <row r="29" spans="1:9" x14ac:dyDescent="0.25">
      <c r="A29" s="59"/>
      <c r="B29" s="932"/>
      <c r="C29" s="934"/>
      <c r="D29" s="669" t="s">
        <v>1559</v>
      </c>
      <c r="E29" s="470">
        <v>0.5</v>
      </c>
      <c r="F29" s="10">
        <v>2</v>
      </c>
      <c r="G29" s="935"/>
      <c r="H29" s="936"/>
      <c r="I29" s="930"/>
    </row>
    <row r="30" spans="1:9" ht="15.75" thickBot="1" x14ac:dyDescent="0.3">
      <c r="A30" s="59"/>
      <c r="B30" s="937"/>
      <c r="C30" s="938"/>
      <c r="D30" s="669" t="s">
        <v>1560</v>
      </c>
      <c r="E30" s="666">
        <v>0.5</v>
      </c>
      <c r="F30" s="93">
        <v>3</v>
      </c>
      <c r="G30" s="939"/>
      <c r="H30" s="940"/>
      <c r="I30" s="930"/>
    </row>
    <row r="31" spans="1:9" ht="15.75" thickBot="1" x14ac:dyDescent="0.3">
      <c r="A31" s="59"/>
      <c r="B31" s="928" t="s">
        <v>390</v>
      </c>
      <c r="C31" s="847"/>
      <c r="D31" s="847"/>
      <c r="E31" s="847"/>
      <c r="F31" s="847"/>
      <c r="G31" s="931"/>
      <c r="H31" s="94">
        <f>SUM(H4:H30)</f>
        <v>0</v>
      </c>
      <c r="I31" s="125" t="e">
        <f>AVERAGE(I4:I30)</f>
        <v>#DIV/0!</v>
      </c>
    </row>
  </sheetData>
  <mergeCells count="47">
    <mergeCell ref="B7:B9"/>
    <mergeCell ref="C7:C9"/>
    <mergeCell ref="G7:G9"/>
    <mergeCell ref="H7:H9"/>
    <mergeCell ref="I7:I9"/>
    <mergeCell ref="B4:B6"/>
    <mergeCell ref="C4:C6"/>
    <mergeCell ref="G4:G6"/>
    <mergeCell ref="H4:H6"/>
    <mergeCell ref="I4:I6"/>
    <mergeCell ref="B13:B15"/>
    <mergeCell ref="C13:C15"/>
    <mergeCell ref="G13:G15"/>
    <mergeCell ref="H13:H15"/>
    <mergeCell ref="I13:I15"/>
    <mergeCell ref="B10:B12"/>
    <mergeCell ref="C10:C12"/>
    <mergeCell ref="G10:G12"/>
    <mergeCell ref="H10:H12"/>
    <mergeCell ref="I10:I12"/>
    <mergeCell ref="I25:I27"/>
    <mergeCell ref="B16:B18"/>
    <mergeCell ref="C16:C18"/>
    <mergeCell ref="G16:G18"/>
    <mergeCell ref="H16:H18"/>
    <mergeCell ref="I16:I18"/>
    <mergeCell ref="B19:B21"/>
    <mergeCell ref="C19:C21"/>
    <mergeCell ref="G19:G21"/>
    <mergeCell ref="H19:H21"/>
    <mergeCell ref="I19:I21"/>
    <mergeCell ref="D3:E3"/>
    <mergeCell ref="I28:I30"/>
    <mergeCell ref="B31:G31"/>
    <mergeCell ref="B22:B24"/>
    <mergeCell ref="C22:C24"/>
    <mergeCell ref="G22:G24"/>
    <mergeCell ref="H22:H24"/>
    <mergeCell ref="B28:B30"/>
    <mergeCell ref="C28:C30"/>
    <mergeCell ref="G28:G30"/>
    <mergeCell ref="H28:H30"/>
    <mergeCell ref="I22:I24"/>
    <mergeCell ref="B25:B27"/>
    <mergeCell ref="C25:C27"/>
    <mergeCell ref="G25:G27"/>
    <mergeCell ref="H25:H27"/>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tabColor theme="2" tint="-0.499984740745262"/>
  </sheetPr>
  <dimension ref="A1:I15"/>
  <sheetViews>
    <sheetView workbookViewId="0">
      <selection activeCell="C3" sqref="C3:C5"/>
    </sheetView>
  </sheetViews>
  <sheetFormatPr baseColWidth="10" defaultColWidth="10.7109375" defaultRowHeight="15" x14ac:dyDescent="0.25"/>
  <cols>
    <col min="2" max="2" width="32.7109375" bestFit="1" customWidth="1"/>
  </cols>
  <sheetData>
    <row r="1" spans="1:9" ht="20.25" thickBot="1" x14ac:dyDescent="0.35">
      <c r="A1" s="2" t="s">
        <v>147</v>
      </c>
      <c r="B1" s="2"/>
      <c r="C1" s="2"/>
    </row>
    <row r="2" spans="1:9" ht="16.5" thickTop="1" thickBot="1" x14ac:dyDescent="0.3"/>
    <row r="3" spans="1:9" x14ac:dyDescent="0.25">
      <c r="B3" s="11" t="s">
        <v>478</v>
      </c>
      <c r="C3" s="112"/>
      <c r="E3" s="56"/>
      <c r="F3" s="56"/>
      <c r="G3" s="56"/>
      <c r="H3" s="56"/>
      <c r="I3" s="56"/>
    </row>
    <row r="4" spans="1:9" x14ac:dyDescent="0.25">
      <c r="B4" s="13" t="s">
        <v>459</v>
      </c>
      <c r="C4" s="113"/>
      <c r="E4" s="56"/>
      <c r="F4" s="56"/>
      <c r="G4" s="56"/>
      <c r="H4" s="56"/>
      <c r="I4" s="56"/>
    </row>
    <row r="5" spans="1:9" ht="15.75" thickBot="1" x14ac:dyDescent="0.3">
      <c r="B5" s="14" t="s">
        <v>149</v>
      </c>
      <c r="C5" s="114"/>
    </row>
    <row r="6" spans="1:9" ht="15.75" thickBot="1" x14ac:dyDescent="0.3">
      <c r="E6" t="s">
        <v>503</v>
      </c>
    </row>
    <row r="7" spans="1:9" ht="15.75" thickBot="1" x14ac:dyDescent="0.3">
      <c r="B7" s="119" t="s">
        <v>150</v>
      </c>
      <c r="C7" s="124" t="e">
        <f>C3/C4*C5</f>
        <v>#DIV/0!</v>
      </c>
    </row>
    <row r="9" spans="1:9" x14ac:dyDescent="0.25">
      <c r="B9" s="58"/>
      <c r="C9" s="58"/>
      <c r="D9" s="58"/>
    </row>
    <row r="10" spans="1:9" x14ac:dyDescent="0.25">
      <c r="B10" s="58" t="s">
        <v>1547</v>
      </c>
      <c r="C10" s="58"/>
      <c r="D10" s="58"/>
    </row>
    <row r="11" spans="1:9" x14ac:dyDescent="0.25">
      <c r="B11" s="58"/>
      <c r="C11" s="58"/>
      <c r="D11" s="58"/>
    </row>
    <row r="13" spans="1:9" x14ac:dyDescent="0.25">
      <c r="B13" s="946" t="s">
        <v>504</v>
      </c>
      <c r="C13" s="946"/>
      <c r="D13" s="946"/>
      <c r="E13" s="946"/>
      <c r="F13" s="946"/>
      <c r="G13" s="946"/>
      <c r="H13" s="946"/>
    </row>
    <row r="14" spans="1:9" x14ac:dyDescent="0.25">
      <c r="B14" s="946"/>
      <c r="C14" s="946"/>
      <c r="D14" s="946"/>
      <c r="E14" s="946"/>
      <c r="F14" s="946"/>
      <c r="G14" s="946"/>
      <c r="H14" s="946"/>
    </row>
    <row r="15" spans="1:9" x14ac:dyDescent="0.25">
      <c r="B15" s="57" t="s">
        <v>505</v>
      </c>
    </row>
  </sheetData>
  <mergeCells count="1">
    <mergeCell ref="B13:H1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19</vt:i4>
      </vt:variant>
      <vt:variant>
        <vt:lpstr>Plages nommées</vt:lpstr>
      </vt:variant>
      <vt:variant>
        <vt:i4>2</vt:i4>
      </vt:variant>
    </vt:vector>
  </HeadingPairs>
  <TitlesOfParts>
    <vt:vector size="21" baseType="lpstr">
      <vt:lpstr>Instructions</vt:lpstr>
      <vt:lpstr>System description</vt:lpstr>
      <vt:lpstr>Input data</vt:lpstr>
      <vt:lpstr>Sheet 1</vt:lpstr>
      <vt:lpstr>Sheet 2</vt:lpstr>
      <vt:lpstr>Sheet 3</vt:lpstr>
      <vt:lpstr>Sheet 4</vt:lpstr>
      <vt:lpstr>Sheet 5</vt:lpstr>
      <vt:lpstr>Sheet 6</vt:lpstr>
      <vt:lpstr>Sheet 7</vt:lpstr>
      <vt:lpstr>Sheet 8</vt:lpstr>
      <vt:lpstr>Sheet 9</vt:lpstr>
      <vt:lpstr>Secondary data calculation</vt:lpstr>
      <vt:lpstr>Indicators</vt:lpstr>
      <vt:lpstr>DEXi export file</vt:lpstr>
      <vt:lpstr>FP</vt:lpstr>
      <vt:lpstr>DNT</vt:lpstr>
      <vt:lpstr>PNT</vt:lpstr>
      <vt:lpstr>CP</vt:lpstr>
      <vt:lpstr>Coproducts</vt:lpstr>
      <vt:lpstr>Feeds</vt:lpstr>
    </vt:vector>
  </TitlesOfParts>
  <Company>INRA UMRSAS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tedubois</dc:creator>
  <cp:lastModifiedBy>Samuel Le Féon</cp:lastModifiedBy>
  <cp:lastPrinted>2020-07-08T07:15:47Z</cp:lastPrinted>
  <dcterms:created xsi:type="dcterms:W3CDTF">2020-07-07T12:53:44Z</dcterms:created>
  <dcterms:modified xsi:type="dcterms:W3CDTF">2021-05-19T14:18:38Z</dcterms:modified>
</cp:coreProperties>
</file>